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4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5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6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8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9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10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drawings/drawing11.xml" ContentType="application/vnd.openxmlformats-officedocument.drawing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12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drawings/drawing13.xml" ContentType="application/vnd.openxmlformats-officedocument.drawing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14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15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UKU2018\TEXT\TEXT\"/>
    </mc:Choice>
  </mc:AlternateContent>
  <bookViews>
    <workbookView xWindow="240" yWindow="15" windowWidth="9990" windowHeight="6660" tabRatio="790" activeTab="1"/>
  </bookViews>
  <sheets>
    <sheet name="KASUS1" sheetId="41" r:id="rId1"/>
    <sheet name="KASUS2" sheetId="42" r:id="rId2"/>
    <sheet name="KASUS3 " sheetId="69" r:id="rId3"/>
    <sheet name="KASUS4" sheetId="79" r:id="rId4"/>
    <sheet name="KASUS5" sheetId="70" r:id="rId5"/>
    <sheet name="KASUS6" sheetId="80" r:id="rId6"/>
    <sheet name="KASUS7" sheetId="72" r:id="rId7"/>
    <sheet name="KASUS8" sheetId="82" r:id="rId8"/>
    <sheet name="KASUS9" sheetId="17" r:id="rId9"/>
    <sheet name="KASUS10" sheetId="76" r:id="rId10"/>
    <sheet name="KASUS11" sheetId="75" r:id="rId11"/>
    <sheet name="KASUS12" sheetId="5" r:id="rId12"/>
    <sheet name="KASUS13" sheetId="6" r:id="rId13"/>
    <sheet name="KASUS14" sheetId="77" r:id="rId14"/>
    <sheet name="KASUS15" sheetId="78" r:id="rId15"/>
  </sheets>
  <definedNames>
    <definedName name="anscount" hidden="1">1</definedName>
    <definedName name="limcount" hidden="1">1</definedName>
    <definedName name="sencount" hidden="1">1</definedName>
  </definedNames>
  <calcPr calcId="152511"/>
</workbook>
</file>

<file path=xl/calcChain.xml><?xml version="1.0" encoding="utf-8"?>
<calcChain xmlns="http://schemas.openxmlformats.org/spreadsheetml/2006/main">
  <c r="C15" i="41" l="1"/>
  <c r="C12" i="17" l="1"/>
  <c r="B7" i="72"/>
  <c r="B6" i="82"/>
  <c r="I7" i="72"/>
  <c r="G7" i="72"/>
  <c r="B6" i="78"/>
  <c r="B5" i="6"/>
  <c r="B6" i="5" l="1"/>
  <c r="B6" i="75"/>
  <c r="C5" i="82"/>
  <c r="C4" i="82"/>
  <c r="B6" i="80"/>
  <c r="B6" i="69"/>
  <c r="C11" i="42"/>
  <c r="H5" i="42"/>
  <c r="C10" i="41"/>
  <c r="I12" i="82" l="1"/>
  <c r="I11" i="82"/>
  <c r="I10" i="82"/>
  <c r="C13" i="5" l="1"/>
  <c r="F5" i="80" l="1"/>
  <c r="B6" i="79"/>
  <c r="C12" i="42"/>
  <c r="C11" i="41"/>
  <c r="I8" i="80"/>
  <c r="I7" i="80"/>
  <c r="D5" i="79"/>
  <c r="B7" i="79" s="1"/>
  <c r="H5" i="78"/>
  <c r="H4" i="78"/>
  <c r="J5" i="77"/>
  <c r="J4" i="77"/>
  <c r="G4" i="77"/>
  <c r="B6" i="77" s="1"/>
  <c r="F5" i="76"/>
  <c r="F4" i="76"/>
  <c r="F5" i="75"/>
  <c r="F4" i="75"/>
  <c r="F3" i="75"/>
  <c r="I6" i="72"/>
  <c r="G6" i="72"/>
  <c r="C5" i="72"/>
  <c r="G6" i="70"/>
  <c r="G7" i="70" s="1"/>
  <c r="G4" i="70"/>
  <c r="I4" i="70" s="1"/>
  <c r="G4" i="69"/>
  <c r="D15" i="69" s="1"/>
  <c r="B6" i="76" l="1"/>
  <c r="G8" i="72"/>
  <c r="G5" i="70"/>
  <c r="C12" i="75"/>
  <c r="D16" i="69"/>
  <c r="D6" i="79"/>
  <c r="G5" i="69"/>
  <c r="G9" i="72"/>
  <c r="J7" i="77"/>
  <c r="K12" i="78"/>
  <c r="K6" i="78"/>
  <c r="C11" i="75"/>
  <c r="C12" i="76"/>
  <c r="C11" i="76"/>
  <c r="B10" i="70"/>
  <c r="K13" i="78"/>
  <c r="K11" i="78"/>
  <c r="J6" i="77"/>
  <c r="K5" i="78"/>
  <c r="H6" i="6" l="1"/>
  <c r="H11" i="6" s="1"/>
  <c r="H5" i="6"/>
  <c r="C12" i="5"/>
  <c r="C11" i="5"/>
  <c r="H10" i="6" l="1"/>
  <c r="D5" i="17"/>
  <c r="D4" i="17"/>
  <c r="F7" i="42"/>
  <c r="G12" i="42" s="1"/>
  <c r="F6" i="42"/>
  <c r="F5" i="42"/>
  <c r="G6" i="41"/>
  <c r="G5" i="41"/>
  <c r="I4" i="41" s="1"/>
  <c r="C13" i="17" l="1"/>
  <c r="B6" i="17"/>
  <c r="C17" i="41"/>
  <c r="H16" i="41" s="1"/>
  <c r="C18" i="42"/>
  <c r="G17" i="42" s="1"/>
  <c r="C17" i="42"/>
  <c r="C16" i="42"/>
  <c r="G11" i="42"/>
  <c r="C16" i="41"/>
  <c r="H15" i="41" l="1"/>
  <c r="G16" i="42"/>
</calcChain>
</file>

<file path=xl/sharedStrings.xml><?xml version="1.0" encoding="utf-8"?>
<sst xmlns="http://schemas.openxmlformats.org/spreadsheetml/2006/main" count="192" uniqueCount="119">
  <si>
    <t>Harga per lembar saham</t>
  </si>
  <si>
    <t>Komisi untuk broker</t>
  </si>
  <si>
    <t>MEMBELI SAHAM</t>
  </si>
  <si>
    <t>MENJUAL SAHAM</t>
  </si>
  <si>
    <t>STOCK SPLIT dan HARGA SAHAM</t>
  </si>
  <si>
    <t>Nilai nominal saham</t>
  </si>
  <si>
    <t>Rasio 1 saham lama menjadi saham baru</t>
  </si>
  <si>
    <t>Harga saham dalam perdagangan terakhir</t>
  </si>
  <si>
    <t>HARGA TEORITIS SAHAM</t>
  </si>
  <si>
    <t>Faktor koreksi</t>
  </si>
  <si>
    <t>Faktor Koreksi x Harga Saham Terakhir</t>
  </si>
  <si>
    <t>Harga saham saat ini</t>
  </si>
  <si>
    <t>HARGA SAHAM</t>
  </si>
  <si>
    <t>Perkiraan dividen per lembar saham yang dibagikan</t>
  </si>
  <si>
    <t>Tingkat pertumbuhan dari tahun sebelumnya</t>
  </si>
  <si>
    <t>Tingkat keuntungan yang diharapkan investor</t>
  </si>
  <si>
    <t xml:space="preserve">Jumlah lot saham </t>
  </si>
  <si>
    <t>Transaksi beli</t>
  </si>
  <si>
    <t>=</t>
  </si>
  <si>
    <t>Lot x Jml Saham per Lot x Harga per Lembar</t>
  </si>
  <si>
    <t>Tarif PPN</t>
  </si>
  <si>
    <t>Tarif PPh</t>
  </si>
  <si>
    <t>Transaksi jual</t>
  </si>
  <si>
    <t>Tarif PPh x Transaksi</t>
  </si>
  <si>
    <t>Harga yang layak untuk saham</t>
  </si>
  <si>
    <t>Harga pembukaan saham</t>
  </si>
  <si>
    <t>Saham Lama / Saham Baru</t>
  </si>
  <si>
    <t>Harga teoritis</t>
  </si>
  <si>
    <t>Komisi x Transaksi beli x (1 + Tarif PPN)</t>
  </si>
  <si>
    <t>(Komisi x Transaksi beli) x (1 + Tarif PPN)</t>
  </si>
  <si>
    <t>Transaksi jual - Komisi - PPh</t>
  </si>
  <si>
    <t>Harga beli saham</t>
  </si>
  <si>
    <t>Transaksi beli + Komisi pembelian</t>
  </si>
  <si>
    <t>Komisi untuk broker (komisi pembelian)</t>
  </si>
  <si>
    <t>Komisi untuk broker (komisi penjualan)</t>
  </si>
  <si>
    <t>Nilai penerimaan penjualan saham</t>
  </si>
  <si>
    <t>PPh atas Transaksi Penjualan (Pajak)</t>
  </si>
  <si>
    <t>D/k</t>
  </si>
  <si>
    <t xml:space="preserve">= </t>
  </si>
  <si>
    <t>+</t>
  </si>
  <si>
    <t xml:space="preserve">Jumlah saham </t>
  </si>
  <si>
    <r>
      <t>D</t>
    </r>
    <r>
      <rPr>
        <vertAlign val="subscript"/>
        <sz val="11"/>
        <color theme="1"/>
        <rFont val="Calibri"/>
        <family val="2"/>
        <scheme val="minor"/>
      </rPr>
      <t>1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</si>
  <si>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</si>
  <si>
    <r>
      <t>Required Rate of Return (k</t>
    </r>
    <r>
      <rPr>
        <b/>
        <vertAlign val="subscript"/>
        <sz val="11"/>
        <color theme="0"/>
        <rFont val="Calibri"/>
        <family val="2"/>
        <scheme val="minor"/>
      </rPr>
      <t>s</t>
    </r>
    <r>
      <rPr>
        <b/>
        <sz val="11"/>
        <color theme="0"/>
        <rFont val="Calibri"/>
        <family val="2"/>
        <scheme val="minor"/>
      </rPr>
      <t>)</t>
    </r>
  </si>
  <si>
    <t>D =</t>
  </si>
  <si>
    <t>HARGA WAJAR SAHAM PREFEREN</t>
  </si>
  <si>
    <t>Dividen Tetap per Tahun</t>
  </si>
  <si>
    <t>Required Rate of Return Saham Sejenis</t>
  </si>
  <si>
    <t>Harga Wajar Saham Preferen</t>
  </si>
  <si>
    <t>Rumus</t>
  </si>
  <si>
    <r>
      <t>V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0"/>
        <rFont val="Arial"/>
        <family val="2"/>
      </rPr>
      <t xml:space="preserve"> = D/k</t>
    </r>
  </si>
  <si>
    <r>
      <t>V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0"/>
        <rFont val="Arial"/>
        <family val="2"/>
      </rPr>
      <t xml:space="preserve"> =</t>
    </r>
  </si>
  <si>
    <t>nilai intrisik (nilai wajar) saham preferen</t>
  </si>
  <si>
    <t>dividen tetap</t>
  </si>
  <si>
    <t>k =</t>
  </si>
  <si>
    <t>required rate of return atau discount rate</t>
  </si>
  <si>
    <r>
      <t>V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0"/>
        <rFont val="Arial"/>
        <family val="2"/>
      </rPr>
      <t xml:space="preserve"> = </t>
    </r>
  </si>
  <si>
    <t>PERUBAHAN HARGA SAHAM PREFEREN</t>
  </si>
  <si>
    <t>Perubahan Required Rate of Return</t>
  </si>
  <si>
    <t>Harga Wajar Saham Preferen (perubahan)</t>
  </si>
  <si>
    <t>Kesimpulan:</t>
  </si>
  <si>
    <t>HARGA WAJAR SAHAM BIASA</t>
  </si>
  <si>
    <r>
      <t>Dividen per Saham (tahun lalu) - D</t>
    </r>
    <r>
      <rPr>
        <b/>
        <vertAlign val="subscript"/>
        <sz val="11"/>
        <color theme="0"/>
        <rFont val="Calibri"/>
        <family val="2"/>
        <scheme val="minor"/>
      </rPr>
      <t>0</t>
    </r>
  </si>
  <si>
    <t>Tingkat Pertumbuhan per Tahun  (g)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</si>
  <si>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0"/>
        <rFont val="Arial"/>
        <family val="2"/>
      </rPr>
      <t xml:space="preserve"> =</t>
    </r>
  </si>
  <si>
    <r>
      <t>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0"/>
        <rFont val="Arial"/>
        <family val="2"/>
      </rPr>
      <t>(1+g)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</si>
  <si>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0"/>
        <rFont val="Arial"/>
        <family val="2"/>
      </rPr>
      <t xml:space="preserve"> - g</t>
    </r>
  </si>
  <si>
    <r>
      <t>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0"/>
        <rFont val="Arial"/>
        <family val="2"/>
      </rPr>
      <t>-g</t>
    </r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</si>
  <si>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</si>
  <si>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t>harga wajar saham saat ini</t>
  </si>
  <si>
    <r>
      <t>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0"/>
        <rFont val="Arial"/>
        <family val="2"/>
      </rPr>
      <t>, D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....</t>
    </r>
  </si>
  <si>
    <t>arus kas dividen</t>
  </si>
  <si>
    <t>required rate of return untuk saham</t>
  </si>
  <si>
    <t xml:space="preserve">Perkiraan Dividen per Saham </t>
  </si>
  <si>
    <t>Harga Pasar per Lembar Saham</t>
  </si>
  <si>
    <t>Perkiraan Harga Jual</t>
  </si>
  <si>
    <r>
      <t>V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0"/>
        <rFont val="Arial"/>
        <family val="2"/>
      </rPr>
      <t xml:space="preserve"> =</t>
    </r>
  </si>
  <si>
    <r>
      <t>(1 + 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0"/>
        <rFont val="Arial"/>
        <family val="2"/>
      </rPr>
      <t>)</t>
    </r>
    <r>
      <rPr>
        <vertAlign val="superscript"/>
        <sz val="11"/>
        <color theme="1"/>
        <rFont val="Calibri"/>
        <family val="2"/>
        <scheme val="minor"/>
      </rPr>
      <t>1</t>
    </r>
  </si>
  <si>
    <t>Nama Perusahaan</t>
  </si>
  <si>
    <t>Arus Kas Masuk per Tahun</t>
  </si>
  <si>
    <t>Tingkat Imbal Hasil Saham</t>
  </si>
  <si>
    <t>Jumlah Saham Beredar (lembar)</t>
  </si>
  <si>
    <t>HARGA SAHAM BIASA</t>
  </si>
  <si>
    <t>Dividen per Lembar Saham</t>
  </si>
  <si>
    <t>Tingkat Pengembalian Diharapkan</t>
  </si>
  <si>
    <t>Tingkat Pertumbuhan Dividen</t>
  </si>
  <si>
    <t xml:space="preserve">Harga Saham Biasa </t>
  </si>
  <si>
    <t>Tingkat Pengembalian yang Diharapkan Investor</t>
  </si>
  <si>
    <t>ksc =</t>
  </si>
  <si>
    <t>+ Pertumbuhan</t>
  </si>
  <si>
    <r>
      <t>Dividen yang Dibagikan (D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>)</t>
    </r>
  </si>
  <si>
    <t>Tingkat Pertumbuhan Dividen (g)</t>
  </si>
  <si>
    <t>Required Rate of Return (k)</t>
  </si>
  <si>
    <r>
      <t>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0"/>
        <rFont val="Arial"/>
        <family val="2"/>
      </rPr>
      <t xml:space="preserve"> x (1+g)</t>
    </r>
  </si>
  <si>
    <t>k - g</t>
  </si>
  <si>
    <t>HARGA SAHAM PREFEREN</t>
  </si>
  <si>
    <t>PT DEF, Tbk</t>
  </si>
  <si>
    <t>Dividen yang dibayar per Tahun</t>
  </si>
  <si>
    <t>Tingkat Pengembalian Pasar</t>
  </si>
  <si>
    <t>BIAYA SAHAM PREFEREN</t>
  </si>
  <si>
    <t>Harga Saham Preferen</t>
  </si>
  <si>
    <t>Biaya Saham Preferen</t>
  </si>
  <si>
    <t>kps =</t>
  </si>
  <si>
    <t>Prefered Stock Devidend</t>
  </si>
  <si>
    <t>Price of Prefered Stock</t>
  </si>
  <si>
    <r>
      <t>(</t>
    </r>
    <r>
      <rPr>
        <b/>
        <i/>
        <sz val="11"/>
        <color rgb="FF00B050"/>
        <rFont val="Calibri"/>
        <family val="2"/>
        <scheme val="minor"/>
      </rPr>
      <t>Required Rate of Return for Prefered Stock/kps</t>
    </r>
    <r>
      <rPr>
        <b/>
        <sz val="11"/>
        <color rgb="FF00B050"/>
        <rFont val="Calibri"/>
        <family val="2"/>
        <scheme val="minor"/>
      </rPr>
      <t>)</t>
    </r>
  </si>
  <si>
    <t>Dividen per lembar saham / (Pertumbuhan - Tingkat Keuntungan)</t>
  </si>
  <si>
    <t>MODEL PERTUMBUHAN KONSTAN</t>
  </si>
  <si>
    <t>TINGKAT PENGEMBALIAN YANG DIHARAPKAN</t>
  </si>
  <si>
    <t>Harga Saham</t>
  </si>
  <si>
    <t xml:space="preserve">Rasio 1 Saham Lama menjadi Saham Baru </t>
  </si>
  <si>
    <t>Harga Perdagangan per Saham sebelum Stock Split</t>
  </si>
  <si>
    <r>
      <t>Dividen yang diharapkan diterima akhir tahun pertama (D</t>
    </r>
    <r>
      <rPr>
        <b/>
        <vertAlign val="subscript"/>
        <sz val="11"/>
        <color rgb="FF0000FF"/>
        <rFont val="Calibri"/>
        <family val="2"/>
        <scheme val="minor"/>
      </rPr>
      <t>1</t>
    </r>
    <r>
      <rPr>
        <b/>
        <sz val="11"/>
        <color rgb="FF0000FF"/>
        <rFont val="Calibri"/>
        <family val="2"/>
        <scheme val="minor"/>
      </rPr>
      <t>)</t>
    </r>
  </si>
  <si>
    <r>
      <t>Nilai Saham (P</t>
    </r>
    <r>
      <rPr>
        <b/>
        <vertAlign val="subscript"/>
        <sz val="11"/>
        <color rgb="FF0000FF"/>
        <rFont val="Calibri"/>
        <family val="2"/>
        <scheme val="minor"/>
      </rPr>
      <t>0</t>
    </r>
    <r>
      <rPr>
        <b/>
        <sz val="11"/>
        <color rgb="FF0000FF"/>
        <rFont val="Calibri"/>
        <family val="2"/>
        <scheme val="minor"/>
      </rPr>
      <t>)</t>
    </r>
  </si>
  <si>
    <t>Perkiraan dividen tahun depan</t>
  </si>
  <si>
    <t>Estimasi pertumbuhan dividen</t>
  </si>
  <si>
    <r>
      <t>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0"/>
        <rFont val="Arial"/>
        <family val="2"/>
      </rPr>
      <t xml:space="preserve"> = </t>
    </r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</si>
  <si>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0"/>
        <rFont val="Arial"/>
        <family val="2"/>
      </rPr>
      <t xml:space="preserve"> = </t>
    </r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</si>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</sst>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164" formatCode="#,##0\ &quot;lot &quot;"/>
    <numFmt numFmtId="165" formatCode="#,##0;[Red]#,##0"/>
  </numFmts>
  <fonts count="34" x14ac:knownFonts="1">
    <font>
      <sz val="10"/>
      <name val="Arial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bscript"/>
      <sz val="11"/>
      <color rgb="FF0000FF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 tint="-4.9989318521683403E-2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4" fillId="0" borderId="0"/>
    <xf numFmtId="9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3" fillId="0" borderId="0"/>
  </cellStyleXfs>
  <cellXfs count="172">
    <xf numFmtId="0" fontId="0" fillId="0" borderId="0" xfId="0"/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 indent="1"/>
    </xf>
    <xf numFmtId="37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1"/>
    </xf>
    <xf numFmtId="37" fontId="8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37" fontId="8" fillId="0" borderId="0" xfId="0" quotePrefix="1" applyNumberFormat="1" applyFont="1" applyFill="1" applyBorder="1" applyAlignment="1">
      <alignment horizontal="left" vertical="center"/>
    </xf>
    <xf numFmtId="0" fontId="3" fillId="0" borderId="0" xfId="4" applyAlignment="1">
      <alignment vertical="center"/>
    </xf>
    <xf numFmtId="0" fontId="12" fillId="0" borderId="0" xfId="4" applyFont="1" applyAlignment="1">
      <alignment vertical="center"/>
    </xf>
    <xf numFmtId="0" fontId="24" fillId="4" borderId="0" xfId="4" applyFont="1" applyFill="1" applyAlignment="1">
      <alignment horizontal="left" vertical="center" indent="1"/>
    </xf>
    <xf numFmtId="0" fontId="24" fillId="4" borderId="0" xfId="4" applyFont="1" applyFill="1" applyAlignment="1">
      <alignment vertical="center"/>
    </xf>
    <xf numFmtId="3" fontId="3" fillId="5" borderId="5" xfId="4" applyNumberFormat="1" applyFill="1" applyBorder="1" applyAlignment="1">
      <alignment horizontal="left" vertical="center" indent="1"/>
    </xf>
    <xf numFmtId="0" fontId="24" fillId="4" borderId="6" xfId="4" applyFont="1" applyFill="1" applyBorder="1" applyAlignment="1">
      <alignment horizontal="left" vertical="center" indent="1"/>
    </xf>
    <xf numFmtId="0" fontId="24" fillId="4" borderId="6" xfId="4" applyFont="1" applyFill="1" applyBorder="1" applyAlignment="1">
      <alignment vertical="center"/>
    </xf>
    <xf numFmtId="10" fontId="3" fillId="5" borderId="7" xfId="4" applyNumberFormat="1" applyFill="1" applyBorder="1" applyAlignment="1">
      <alignment horizontal="left" vertical="center" indent="1"/>
    </xf>
    <xf numFmtId="0" fontId="23" fillId="0" borderId="0" xfId="4" applyFont="1" applyAlignment="1">
      <alignment vertical="center"/>
    </xf>
    <xf numFmtId="0" fontId="24" fillId="3" borderId="0" xfId="4" applyFont="1" applyFill="1" applyAlignment="1">
      <alignment horizontal="left" vertical="center" indent="1"/>
    </xf>
    <xf numFmtId="0" fontId="24" fillId="3" borderId="0" xfId="4" applyFont="1" applyFill="1" applyAlignment="1">
      <alignment vertical="center"/>
    </xf>
    <xf numFmtId="0" fontId="25" fillId="0" borderId="0" xfId="4" applyFont="1" applyAlignment="1">
      <alignment vertical="center"/>
    </xf>
    <xf numFmtId="0" fontId="3" fillId="0" borderId="0" xfId="4" applyAlignment="1">
      <alignment horizontal="left" vertical="center" indent="1"/>
    </xf>
    <xf numFmtId="0" fontId="3" fillId="0" borderId="9" xfId="4" applyBorder="1" applyAlignment="1">
      <alignment horizontal="center" vertical="center"/>
    </xf>
    <xf numFmtId="0" fontId="3" fillId="0" borderId="0" xfId="4" applyAlignment="1">
      <alignment horizontal="right" vertical="center" indent="1"/>
    </xf>
    <xf numFmtId="3" fontId="3" fillId="0" borderId="0" xfId="4" applyNumberFormat="1" applyAlignment="1">
      <alignment horizontal="left" vertical="center"/>
    </xf>
    <xf numFmtId="0" fontId="10" fillId="4" borderId="0" xfId="4" applyFont="1" applyFill="1" applyAlignment="1">
      <alignment horizontal="left" vertical="center" indent="1"/>
    </xf>
    <xf numFmtId="0" fontId="10" fillId="4" borderId="0" xfId="4" applyFont="1" applyFill="1" applyAlignment="1">
      <alignment vertical="center"/>
    </xf>
    <xf numFmtId="0" fontId="26" fillId="0" borderId="0" xfId="4" applyFont="1" applyAlignment="1">
      <alignment vertical="center"/>
    </xf>
    <xf numFmtId="0" fontId="3" fillId="5" borderId="5" xfId="4" applyFill="1" applyBorder="1" applyAlignment="1">
      <alignment horizontal="left" vertical="center" indent="1"/>
    </xf>
    <xf numFmtId="10" fontId="3" fillId="5" borderId="5" xfId="4" applyNumberFormat="1" applyFill="1" applyBorder="1" applyAlignment="1">
      <alignment horizontal="left" vertical="center" indent="1"/>
    </xf>
    <xf numFmtId="0" fontId="10" fillId="4" borderId="6" xfId="4" applyFont="1" applyFill="1" applyBorder="1" applyAlignment="1">
      <alignment horizontal="left" vertical="center" indent="1"/>
    </xf>
    <xf numFmtId="0" fontId="10" fillId="4" borderId="6" xfId="4" applyFont="1" applyFill="1" applyBorder="1" applyAlignment="1">
      <alignment vertical="center"/>
    </xf>
    <xf numFmtId="0" fontId="3" fillId="0" borderId="11" xfId="4" applyBorder="1" applyAlignment="1">
      <alignment horizontal="center" vertical="center"/>
    </xf>
    <xf numFmtId="0" fontId="3" fillId="0" borderId="12" xfId="4" applyBorder="1" applyAlignment="1">
      <alignment vertical="center"/>
    </xf>
    <xf numFmtId="0" fontId="3" fillId="0" borderId="0" xfId="4" applyBorder="1" applyAlignment="1">
      <alignment vertical="center"/>
    </xf>
    <xf numFmtId="0" fontId="3" fillId="0" borderId="1" xfId="4" applyBorder="1" applyAlignment="1">
      <alignment horizontal="center" vertical="center"/>
    </xf>
    <xf numFmtId="0" fontId="3" fillId="0" borderId="14" xfId="4" applyBorder="1" applyAlignment="1">
      <alignment vertical="center"/>
    </xf>
    <xf numFmtId="0" fontId="3" fillId="0" borderId="0" xfId="4" applyAlignment="1">
      <alignment horizontal="center" vertical="center"/>
    </xf>
    <xf numFmtId="0" fontId="10" fillId="4" borderId="0" xfId="4" applyFont="1" applyFill="1" applyBorder="1" applyAlignment="1">
      <alignment horizontal="left" vertical="center" indent="1"/>
    </xf>
    <xf numFmtId="3" fontId="3" fillId="5" borderId="7" xfId="4" applyNumberFormat="1" applyFill="1" applyBorder="1" applyAlignment="1">
      <alignment horizontal="left" vertical="center" indent="1"/>
    </xf>
    <xf numFmtId="0" fontId="3" fillId="0" borderId="12" xfId="4" applyBorder="1" applyAlignment="1">
      <alignment horizontal="center" vertical="center"/>
    </xf>
    <xf numFmtId="0" fontId="3" fillId="0" borderId="14" xfId="4" applyBorder="1" applyAlignment="1">
      <alignment horizontal="center" vertical="center"/>
    </xf>
    <xf numFmtId="3" fontId="3" fillId="0" borderId="1" xfId="4" applyNumberFormat="1" applyBorder="1" applyAlignment="1">
      <alignment horizontal="center" vertical="center"/>
    </xf>
    <xf numFmtId="0" fontId="11" fillId="0" borderId="0" xfId="4" applyFont="1" applyAlignment="1">
      <alignment vertical="center"/>
    </xf>
    <xf numFmtId="0" fontId="3" fillId="0" borderId="0" xfId="4" applyAlignment="1">
      <alignment horizontal="right" vertical="center"/>
    </xf>
    <xf numFmtId="0" fontId="3" fillId="0" borderId="1" xfId="4" applyBorder="1" applyAlignment="1">
      <alignment vertical="center"/>
    </xf>
    <xf numFmtId="0" fontId="29" fillId="0" borderId="0" xfId="4" applyFont="1" applyAlignment="1">
      <alignment vertical="center"/>
    </xf>
    <xf numFmtId="0" fontId="30" fillId="0" borderId="0" xfId="4" applyFont="1" applyAlignment="1">
      <alignment horizontal="left" vertical="center" indent="1"/>
    </xf>
    <xf numFmtId="0" fontId="30" fillId="0" borderId="0" xfId="4" applyFont="1" applyAlignment="1">
      <alignment vertical="center"/>
    </xf>
    <xf numFmtId="0" fontId="3" fillId="0" borderId="0" xfId="4" applyAlignment="1">
      <alignment horizontal="left" vertical="center"/>
    </xf>
    <xf numFmtId="0" fontId="11" fillId="0" borderId="0" xfId="0" applyFont="1" applyFill="1" applyBorder="1" applyAlignment="1">
      <alignment horizontal="left" vertical="center" indent="3"/>
    </xf>
    <xf numFmtId="0" fontId="8" fillId="0" borderId="0" xfId="0" applyFont="1" applyFill="1" applyBorder="1" applyAlignment="1">
      <alignment horizontal="right" vertical="center"/>
    </xf>
    <xf numFmtId="37" fontId="8" fillId="0" borderId="0" xfId="0" quotePrefix="1" applyNumberFormat="1" applyFont="1" applyFill="1" applyBorder="1" applyAlignment="1">
      <alignment horizontal="left" vertical="center"/>
    </xf>
    <xf numFmtId="37" fontId="25" fillId="0" borderId="0" xfId="0" applyNumberFormat="1" applyFont="1" applyFill="1" applyBorder="1" applyAlignment="1">
      <alignment vertical="center"/>
    </xf>
    <xf numFmtId="37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10" fillId="4" borderId="0" xfId="0" applyFont="1" applyFill="1" applyBorder="1" applyAlignment="1">
      <alignment horizontal="left" vertical="center" indent="2"/>
    </xf>
    <xf numFmtId="0" fontId="10" fillId="4" borderId="0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left" vertical="center" indent="2"/>
    </xf>
    <xf numFmtId="0" fontId="10" fillId="4" borderId="6" xfId="0" applyFont="1" applyFill="1" applyBorder="1" applyAlignment="1">
      <alignment vertical="center"/>
    </xf>
    <xf numFmtId="164" fontId="8" fillId="6" borderId="5" xfId="0" applyNumberFormat="1" applyFont="1" applyFill="1" applyBorder="1" applyAlignment="1">
      <alignment horizontal="right" vertical="center" indent="1"/>
    </xf>
    <xf numFmtId="37" fontId="8" fillId="6" borderId="5" xfId="0" applyNumberFormat="1" applyFont="1" applyFill="1" applyBorder="1" applyAlignment="1">
      <alignment horizontal="right" vertical="center" indent="1"/>
    </xf>
    <xf numFmtId="10" fontId="8" fillId="6" borderId="5" xfId="0" applyNumberFormat="1" applyFont="1" applyFill="1" applyBorder="1" applyAlignment="1">
      <alignment horizontal="right" vertical="center" indent="1"/>
    </xf>
    <xf numFmtId="10" fontId="8" fillId="6" borderId="7" xfId="0" applyNumberFormat="1" applyFont="1" applyFill="1" applyBorder="1" applyAlignment="1">
      <alignment horizontal="right" vertical="center" indent="1"/>
    </xf>
    <xf numFmtId="0" fontId="11" fillId="0" borderId="0" xfId="0" applyFont="1" applyFill="1" applyBorder="1" applyAlignment="1">
      <alignment horizontal="left" vertical="center" indent="2"/>
    </xf>
    <xf numFmtId="37" fontId="25" fillId="0" borderId="0" xfId="0" quotePrefix="1" applyNumberFormat="1" applyFont="1" applyFill="1" applyBorder="1" applyAlignment="1">
      <alignment horizontal="left" vertical="center"/>
    </xf>
    <xf numFmtId="3" fontId="2" fillId="0" borderId="0" xfId="4" quotePrefix="1" applyNumberFormat="1" applyFont="1" applyAlignment="1">
      <alignment horizontal="left" vertical="center"/>
    </xf>
    <xf numFmtId="0" fontId="3" fillId="0" borderId="0" xfId="4" applyFill="1" applyAlignment="1">
      <alignment vertical="center"/>
    </xf>
    <xf numFmtId="37" fontId="3" fillId="5" borderId="5" xfId="4" applyNumberFormat="1" applyFill="1" applyBorder="1" applyAlignment="1">
      <alignment horizontal="left" vertical="center" indent="1"/>
    </xf>
    <xf numFmtId="9" fontId="3" fillId="5" borderId="5" xfId="4" applyNumberFormat="1" applyFill="1" applyBorder="1" applyAlignment="1">
      <alignment horizontal="left" vertical="center" indent="1"/>
    </xf>
    <xf numFmtId="37" fontId="2" fillId="6" borderId="3" xfId="4" quotePrefix="1" applyNumberFormat="1" applyFont="1" applyFill="1" applyBorder="1" applyAlignment="1">
      <alignment horizontal="left" vertical="center" indent="1"/>
    </xf>
    <xf numFmtId="0" fontId="3" fillId="5" borderId="0" xfId="4" applyFill="1" applyAlignment="1">
      <alignment vertical="center"/>
    </xf>
    <xf numFmtId="3" fontId="2" fillId="6" borderId="5" xfId="4" quotePrefix="1" applyNumberFormat="1" applyFont="1" applyFill="1" applyBorder="1" applyAlignment="1">
      <alignment horizontal="left" vertical="center" indent="1"/>
    </xf>
    <xf numFmtId="0" fontId="3" fillId="5" borderId="1" xfId="4" applyFill="1" applyBorder="1" applyAlignment="1">
      <alignment vertical="center"/>
    </xf>
    <xf numFmtId="0" fontId="3" fillId="5" borderId="0" xfId="4" applyFill="1" applyAlignment="1">
      <alignment horizontal="right" vertical="center" indent="1"/>
    </xf>
    <xf numFmtId="0" fontId="3" fillId="5" borderId="0" xfId="4" applyFill="1" applyAlignment="1">
      <alignment horizontal="left" vertical="center"/>
    </xf>
    <xf numFmtId="10" fontId="3" fillId="5" borderId="0" xfId="4" applyNumberFormat="1" applyFill="1" applyAlignment="1">
      <alignment horizontal="left" vertical="center"/>
    </xf>
    <xf numFmtId="37" fontId="3" fillId="5" borderId="5" xfId="4" applyNumberFormat="1" applyFill="1" applyBorder="1" applyAlignment="1">
      <alignment horizontal="right" vertical="center" indent="1"/>
    </xf>
    <xf numFmtId="37" fontId="3" fillId="5" borderId="7" xfId="4" applyNumberFormat="1" applyFill="1" applyBorder="1" applyAlignment="1">
      <alignment horizontal="right" vertical="center" indent="1"/>
    </xf>
    <xf numFmtId="0" fontId="31" fillId="0" borderId="0" xfId="4" applyFont="1" applyAlignment="1">
      <alignment vertical="center"/>
    </xf>
    <xf numFmtId="0" fontId="25" fillId="0" borderId="0" xfId="4" applyFont="1" applyAlignment="1">
      <alignment horizontal="right" vertical="center"/>
    </xf>
    <xf numFmtId="0" fontId="10" fillId="4" borderId="0" xfId="0" applyFont="1" applyFill="1" applyBorder="1" applyAlignment="1">
      <alignment horizontal="left" vertical="center" indent="1"/>
    </xf>
    <xf numFmtId="0" fontId="8" fillId="5" borderId="0" xfId="0" applyFont="1" applyFill="1" applyBorder="1" applyAlignment="1">
      <alignment horizontal="left" vertical="center" indent="1"/>
    </xf>
    <xf numFmtId="9" fontId="8" fillId="5" borderId="0" xfId="0" applyNumberFormat="1" applyFont="1" applyFill="1" applyBorder="1" applyAlignment="1">
      <alignment horizontal="left" vertical="center" indent="1"/>
    </xf>
    <xf numFmtId="0" fontId="25" fillId="0" borderId="0" xfId="0" applyFont="1" applyFill="1" applyBorder="1" applyAlignment="1">
      <alignment horizontal="right" vertical="center"/>
    </xf>
    <xf numFmtId="37" fontId="2" fillId="0" borderId="0" xfId="4" quotePrefix="1" applyNumberFormat="1" applyFont="1" applyAlignment="1">
      <alignment horizontal="left" vertical="center"/>
    </xf>
    <xf numFmtId="0" fontId="3" fillId="5" borderId="5" xfId="4" applyNumberFormat="1" applyFill="1" applyBorder="1" applyAlignment="1">
      <alignment horizontal="left" vertical="center" indent="1"/>
    </xf>
    <xf numFmtId="37" fontId="25" fillId="0" borderId="0" xfId="4" quotePrefix="1" applyNumberFormat="1" applyFont="1" applyAlignment="1">
      <alignment horizontal="left" vertical="center"/>
    </xf>
    <xf numFmtId="165" fontId="3" fillId="5" borderId="5" xfId="4" applyNumberFormat="1" applyFill="1" applyBorder="1" applyAlignment="1">
      <alignment horizontal="left" vertical="center" indent="1"/>
    </xf>
    <xf numFmtId="37" fontId="25" fillId="0" borderId="0" xfId="4" applyNumberFormat="1" applyFont="1" applyAlignment="1">
      <alignment horizontal="left" vertical="center"/>
    </xf>
    <xf numFmtId="37" fontId="8" fillId="5" borderId="5" xfId="0" applyNumberFormat="1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left" vertical="center"/>
    </xf>
    <xf numFmtId="37" fontId="14" fillId="5" borderId="5" xfId="0" applyNumberFormat="1" applyFont="1" applyFill="1" applyBorder="1" applyAlignment="1">
      <alignment horizontal="left" vertical="center" indent="1"/>
    </xf>
    <xf numFmtId="37" fontId="14" fillId="5" borderId="7" xfId="0" applyNumberFormat="1" applyFont="1" applyFill="1" applyBorder="1" applyAlignment="1">
      <alignment horizontal="left" vertical="center" indent="1"/>
    </xf>
    <xf numFmtId="37" fontId="8" fillId="5" borderId="7" xfId="0" applyNumberFormat="1" applyFont="1" applyFill="1" applyBorder="1" applyAlignment="1">
      <alignment horizontal="left" vertical="center" indent="1"/>
    </xf>
    <xf numFmtId="0" fontId="10" fillId="4" borderId="6" xfId="0" applyFont="1" applyFill="1" applyBorder="1" applyAlignment="1">
      <alignment horizontal="left" vertical="center" indent="1"/>
    </xf>
    <xf numFmtId="0" fontId="3" fillId="5" borderId="2" xfId="4" applyFill="1" applyBorder="1" applyAlignment="1">
      <alignment horizontal="center" vertical="center"/>
    </xf>
    <xf numFmtId="0" fontId="3" fillId="0" borderId="0" xfId="4" applyAlignment="1">
      <alignment horizontal="center" vertical="center"/>
    </xf>
    <xf numFmtId="0" fontId="3" fillId="0" borderId="1" xfId="4" applyBorder="1" applyAlignment="1">
      <alignment horizontal="center" vertical="center"/>
    </xf>
    <xf numFmtId="0" fontId="3" fillId="0" borderId="11" xfId="4" applyBorder="1" applyAlignment="1">
      <alignment horizontal="center" vertical="center"/>
    </xf>
    <xf numFmtId="9" fontId="8" fillId="6" borderId="7" xfId="0" applyNumberFormat="1" applyFont="1" applyFill="1" applyBorder="1" applyAlignment="1">
      <alignment horizontal="right" vertical="center" indent="1"/>
    </xf>
    <xf numFmtId="9" fontId="8" fillId="6" borderId="5" xfId="0" applyNumberFormat="1" applyFont="1" applyFill="1" applyBorder="1" applyAlignment="1">
      <alignment horizontal="right" vertical="center" indent="1"/>
    </xf>
    <xf numFmtId="0" fontId="24" fillId="3" borderId="15" xfId="4" applyFont="1" applyFill="1" applyBorder="1" applyAlignment="1">
      <alignment horizontal="left" vertical="center" indent="1"/>
    </xf>
    <xf numFmtId="0" fontId="24" fillId="3" borderId="15" xfId="4" applyFont="1" applyFill="1" applyBorder="1" applyAlignment="1">
      <alignment vertical="center"/>
    </xf>
    <xf numFmtId="3" fontId="3" fillId="6" borderId="3" xfId="4" quotePrefix="1" applyNumberFormat="1" applyFill="1" applyBorder="1" applyAlignment="1">
      <alignment horizontal="left" vertical="center" indent="1"/>
    </xf>
    <xf numFmtId="0" fontId="24" fillId="4" borderId="0" xfId="4" applyFont="1" applyFill="1" applyBorder="1" applyAlignment="1">
      <alignment horizontal="left" vertical="center" indent="1"/>
    </xf>
    <xf numFmtId="0" fontId="24" fillId="4" borderId="0" xfId="4" applyFont="1" applyFill="1" applyBorder="1" applyAlignment="1">
      <alignment vertical="center"/>
    </xf>
    <xf numFmtId="0" fontId="24" fillId="3" borderId="6" xfId="4" applyFont="1" applyFill="1" applyBorder="1" applyAlignment="1">
      <alignment horizontal="left" vertical="center" indent="1"/>
    </xf>
    <xf numFmtId="0" fontId="24" fillId="3" borderId="6" xfId="4" applyFont="1" applyFill="1" applyBorder="1" applyAlignment="1">
      <alignment vertical="center"/>
    </xf>
    <xf numFmtId="3" fontId="2" fillId="6" borderId="7" xfId="4" quotePrefix="1" applyNumberFormat="1" applyFont="1" applyFill="1" applyBorder="1" applyAlignment="1">
      <alignment horizontal="left" vertical="center" indent="1"/>
    </xf>
    <xf numFmtId="0" fontId="10" fillId="4" borderId="15" xfId="4" applyFont="1" applyFill="1" applyBorder="1" applyAlignment="1">
      <alignment horizontal="left" vertical="center" indent="1"/>
    </xf>
    <xf numFmtId="0" fontId="10" fillId="4" borderId="15" xfId="4" applyFont="1" applyFill="1" applyBorder="1" applyAlignment="1">
      <alignment vertical="center"/>
    </xf>
    <xf numFmtId="10" fontId="3" fillId="5" borderId="3" xfId="4" applyNumberFormat="1" applyFill="1" applyBorder="1" applyAlignment="1">
      <alignment horizontal="left" vertical="center" indent="1"/>
    </xf>
    <xf numFmtId="0" fontId="3" fillId="5" borderId="0" xfId="4" applyFill="1" applyAlignment="1">
      <alignment horizontal="right" vertical="center"/>
    </xf>
    <xf numFmtId="10" fontId="2" fillId="6" borderId="3" xfId="4" quotePrefix="1" applyNumberFormat="1" applyFont="1" applyFill="1" applyBorder="1" applyAlignment="1">
      <alignment horizontal="right" vertical="center" indent="1"/>
    </xf>
    <xf numFmtId="0" fontId="1" fillId="0" borderId="0" xfId="4" quotePrefix="1" applyFont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  <xf numFmtId="9" fontId="8" fillId="5" borderId="6" xfId="0" applyNumberFormat="1" applyFont="1" applyFill="1" applyBorder="1" applyAlignment="1">
      <alignment horizontal="left" vertical="center" indent="1"/>
    </xf>
    <xf numFmtId="165" fontId="3" fillId="5" borderId="7" xfId="4" applyNumberFormat="1" applyFill="1" applyBorder="1" applyAlignment="1">
      <alignment horizontal="left" vertical="center" indent="1"/>
    </xf>
    <xf numFmtId="0" fontId="1" fillId="0" borderId="0" xfId="4" applyFont="1" applyAlignment="1">
      <alignment horizontal="right" vertical="center"/>
    </xf>
    <xf numFmtId="37" fontId="8" fillId="0" borderId="0" xfId="0" quotePrefix="1" applyNumberFormat="1" applyFont="1" applyFill="1" applyBorder="1" applyAlignment="1">
      <alignment horizontal="left" vertical="center"/>
    </xf>
    <xf numFmtId="1" fontId="22" fillId="2" borderId="0" xfId="0" quotePrefix="1" applyNumberFormat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17" fillId="2" borderId="0" xfId="4" applyFont="1" applyFill="1" applyAlignment="1">
      <alignment horizontal="center" vertical="center" wrapText="1"/>
    </xf>
    <xf numFmtId="0" fontId="17" fillId="5" borderId="0" xfId="4" quotePrefix="1" applyFont="1" applyFill="1" applyAlignment="1">
      <alignment horizontal="left" vertical="center" wrapText="1" indent="1"/>
    </xf>
    <xf numFmtId="0" fontId="17" fillId="5" borderId="0" xfId="4" applyFont="1" applyFill="1" applyAlignment="1">
      <alignment horizontal="left" vertical="center" wrapText="1" indent="1"/>
    </xf>
    <xf numFmtId="0" fontId="10" fillId="3" borderId="15" xfId="4" applyFont="1" applyFill="1" applyBorder="1" applyAlignment="1">
      <alignment horizontal="center" vertical="center"/>
    </xf>
    <xf numFmtId="0" fontId="10" fillId="3" borderId="4" xfId="4" applyFont="1" applyFill="1" applyBorder="1" applyAlignment="1">
      <alignment horizontal="center" vertical="center"/>
    </xf>
    <xf numFmtId="0" fontId="19" fillId="3" borderId="0" xfId="4" quotePrefix="1" applyFont="1" applyFill="1" applyAlignment="1">
      <alignment horizontal="center" vertical="center" wrapText="1"/>
    </xf>
    <xf numFmtId="0" fontId="19" fillId="3" borderId="0" xfId="4" applyFont="1" applyFill="1" applyAlignment="1">
      <alignment horizontal="center" vertical="center" wrapText="1"/>
    </xf>
    <xf numFmtId="0" fontId="3" fillId="5" borderId="0" xfId="4" applyFill="1" applyAlignment="1">
      <alignment horizontal="right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horizontal="center" vertical="center" wrapText="1"/>
    </xf>
    <xf numFmtId="0" fontId="14" fillId="0" borderId="0" xfId="4" applyFont="1" applyBorder="1" applyAlignment="1">
      <alignment horizontal="center" vertical="center"/>
    </xf>
    <xf numFmtId="0" fontId="3" fillId="0" borderId="0" xfId="4" applyBorder="1" applyAlignment="1">
      <alignment horizontal="center" vertical="center"/>
    </xf>
    <xf numFmtId="0" fontId="3" fillId="0" borderId="0" xfId="4" applyAlignment="1">
      <alignment horizontal="center" vertical="center"/>
    </xf>
    <xf numFmtId="0" fontId="14" fillId="0" borderId="10" xfId="4" applyFont="1" applyBorder="1" applyAlignment="1">
      <alignment horizontal="center" vertical="center"/>
    </xf>
    <xf numFmtId="0" fontId="3" fillId="0" borderId="13" xfId="4" applyBorder="1" applyAlignment="1">
      <alignment horizontal="center" vertical="center"/>
    </xf>
    <xf numFmtId="0" fontId="3" fillId="0" borderId="2" xfId="4" applyBorder="1" applyAlignment="1">
      <alignment horizontal="center" vertical="center"/>
    </xf>
    <xf numFmtId="0" fontId="3" fillId="0" borderId="1" xfId="4" applyBorder="1" applyAlignment="1">
      <alignment horizontal="center" vertical="center"/>
    </xf>
    <xf numFmtId="0" fontId="3" fillId="0" borderId="11" xfId="4" applyBorder="1" applyAlignment="1">
      <alignment horizontal="center" vertical="center"/>
    </xf>
    <xf numFmtId="0" fontId="3" fillId="0" borderId="10" xfId="4" applyBorder="1" applyAlignment="1">
      <alignment horizontal="center" vertical="center"/>
    </xf>
    <xf numFmtId="0" fontId="3" fillId="0" borderId="0" xfId="4" applyAlignment="1">
      <alignment horizontal="left" vertical="center"/>
    </xf>
    <xf numFmtId="0" fontId="3" fillId="0" borderId="0" xfId="4" applyAlignment="1">
      <alignment horizontal="right" vertical="center"/>
    </xf>
    <xf numFmtId="0" fontId="22" fillId="7" borderId="0" xfId="0" applyFont="1" applyFill="1" applyBorder="1" applyAlignment="1">
      <alignment horizontal="center" vertical="center" wrapText="1"/>
    </xf>
    <xf numFmtId="37" fontId="14" fillId="6" borderId="0" xfId="4" applyNumberFormat="1" applyFont="1" applyFill="1" applyBorder="1" applyAlignment="1">
      <alignment horizontal="center" vertical="center" wrapText="1"/>
    </xf>
    <xf numFmtId="3" fontId="17" fillId="7" borderId="0" xfId="4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3" fontId="22" fillId="7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33" fillId="3" borderId="8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>
      <alignment horizontal="center" vertical="center" wrapText="1"/>
    </xf>
    <xf numFmtId="0" fontId="3" fillId="5" borderId="0" xfId="4" applyFill="1" applyAlignment="1">
      <alignment horizontal="center" vertical="center"/>
    </xf>
    <xf numFmtId="0" fontId="3" fillId="5" borderId="0" xfId="4" quotePrefix="1" applyFill="1" applyAlignment="1">
      <alignment horizontal="left" vertical="center"/>
    </xf>
    <xf numFmtId="0" fontId="3" fillId="5" borderId="2" xfId="4" applyFill="1" applyBorder="1" applyAlignment="1">
      <alignment horizontal="center" vertical="center"/>
    </xf>
    <xf numFmtId="0" fontId="33" fillId="3" borderId="8" xfId="4" applyFont="1" applyFill="1" applyBorder="1" applyAlignment="1">
      <alignment horizontal="center" vertical="center" wrapText="1"/>
    </xf>
    <xf numFmtId="0" fontId="33" fillId="3" borderId="0" xfId="4" applyFont="1" applyFill="1" applyBorder="1" applyAlignment="1">
      <alignment horizontal="center" vertical="center" wrapText="1"/>
    </xf>
    <xf numFmtId="0" fontId="1" fillId="0" borderId="0" xfId="4" applyFont="1" applyAlignment="1">
      <alignment horizontal="right" vertical="center"/>
    </xf>
    <xf numFmtId="0" fontId="1" fillId="0" borderId="0" xfId="4" applyFont="1" applyAlignment="1">
      <alignment horizontal="right" vertical="center" wrapText="1"/>
    </xf>
    <xf numFmtId="0" fontId="3" fillId="0" borderId="0" xfId="4" applyAlignment="1">
      <alignment horizontal="right" vertical="center" wrapText="1"/>
    </xf>
    <xf numFmtId="3" fontId="3" fillId="0" borderId="1" xfId="4" applyNumberFormat="1" applyBorder="1" applyAlignment="1">
      <alignment horizontal="center" vertical="center"/>
    </xf>
    <xf numFmtId="37" fontId="3" fillId="0" borderId="0" xfId="4" applyNumberFormat="1" applyAlignment="1">
      <alignment horizontal="left" vertical="center"/>
    </xf>
  </cellXfs>
  <cellStyles count="5">
    <cellStyle name="Comma [0] 2" xfId="3"/>
    <cellStyle name="Normal" xfId="0" builtinId="0"/>
    <cellStyle name="Normal 2" xfId="1"/>
    <cellStyle name="Normal 3" xfId="4"/>
    <cellStyle name="Percent 2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Scroll" dx="16" fmlaLink="$G$3" horiz="1" inc="5" max="250" min="10" page="10" val="100"/>
</file>

<file path=xl/ctrlProps/ctrlProp10.xml><?xml version="1.0" encoding="utf-8"?>
<formControlPr xmlns="http://schemas.microsoft.com/office/spreadsheetml/2009/9/main" objectType="Scroll" dx="16" fmlaLink="$H$4" horiz="1" inc="25" max="2000" min="750" page="10" val="1900"/>
</file>

<file path=xl/ctrlProps/ctrlProp11.xml><?xml version="1.0" encoding="utf-8"?>
<formControlPr xmlns="http://schemas.microsoft.com/office/spreadsheetml/2009/9/main" objectType="Scroll" dx="16" fmlaLink="$G$3" horiz="1" inc="5" max="2500" min="250" page="10" val="475"/>
</file>

<file path=xl/ctrlProps/ctrlProp12.xml><?xml version="1.0" encoding="utf-8"?>
<formControlPr xmlns="http://schemas.microsoft.com/office/spreadsheetml/2009/9/main" objectType="Scroll" dx="15" fmlaLink="$D$4" horiz="1" inc="25" max="5000" min="500" page="10" val="1750"/>
</file>

<file path=xl/ctrlProps/ctrlProp13.xml><?xml version="1.0" encoding="utf-8"?>
<formControlPr xmlns="http://schemas.microsoft.com/office/spreadsheetml/2009/9/main" objectType="Scroll" dx="15" fmlaLink="$E$5" horiz="1" max="20" min="10" page="10" val="14"/>
</file>

<file path=xl/ctrlProps/ctrlProp14.xml><?xml version="1.0" encoding="utf-8"?>
<formControlPr xmlns="http://schemas.microsoft.com/office/spreadsheetml/2009/9/main" objectType="Scroll" dx="16" fmlaLink="$H$4" horiz="1" inc="25" max="2000" min="750" page="10" val="1800"/>
</file>

<file path=xl/ctrlProps/ctrlProp15.xml><?xml version="1.0" encoding="utf-8"?>
<formControlPr xmlns="http://schemas.microsoft.com/office/spreadsheetml/2009/9/main" objectType="Scroll" dx="16" fmlaLink="$G$3" horiz="1" inc="5" max="2500" min="250" page="10" val="500"/>
</file>

<file path=xl/ctrlProps/ctrlProp16.xml><?xml version="1.0" encoding="utf-8"?>
<formControlPr xmlns="http://schemas.microsoft.com/office/spreadsheetml/2009/9/main" objectType="Scroll" dx="16" fmlaLink="$H$6" horiz="1" inc="25" max="2000" min="750" page="10" val="1725"/>
</file>

<file path=xl/ctrlProps/ctrlProp17.xml><?xml version="1.0" encoding="utf-8"?>
<formControlPr xmlns="http://schemas.microsoft.com/office/spreadsheetml/2009/9/main" objectType="Scroll" dx="15" fmlaLink="$F$3" horiz="1" inc="5" max="400" min="75" page="10" val="375"/>
</file>

<file path=xl/ctrlProps/ctrlProp18.xml><?xml version="1.0" encoding="utf-8"?>
<formControlPr xmlns="http://schemas.microsoft.com/office/spreadsheetml/2009/9/main" objectType="Scroll" dx="15" fmlaLink="$F$4" horiz="1" inc="25" max="20000" min="2000" page="10" val="6000"/>
</file>

<file path=xl/ctrlProps/ctrlProp19.xml><?xml version="1.0" encoding="utf-8"?>
<formControlPr xmlns="http://schemas.microsoft.com/office/spreadsheetml/2009/9/main" objectType="Scroll" dx="16" fmlaLink="$C$3" horiz="1" max="1500" min="200" page="10" val="220"/>
</file>

<file path=xl/ctrlProps/ctrlProp2.xml><?xml version="1.0" encoding="utf-8"?>
<formControlPr xmlns="http://schemas.microsoft.com/office/spreadsheetml/2009/9/main" objectType="Scroll" dx="16" fmlaLink="$G$4" horiz="1" inc="25" max="5000" min="1000" page="10" val="2500"/>
</file>

<file path=xl/ctrlProps/ctrlProp20.xml><?xml version="1.0" encoding="utf-8"?>
<formControlPr xmlns="http://schemas.microsoft.com/office/spreadsheetml/2009/9/main" objectType="Scroll" dx="16" fmlaLink="$C$4" horiz="1" inc="5" max="2500" min="700" page="10" val="1350"/>
</file>

<file path=xl/ctrlProps/ctrlProp21.xml><?xml version="1.0" encoding="utf-8"?>
<formControlPr xmlns="http://schemas.microsoft.com/office/spreadsheetml/2009/9/main" objectType="Scroll" dx="16" fmlaLink="$D$5" horiz="1" inc="25" max="2500" min="700" page="10" val="1750"/>
</file>

<file path=xl/ctrlProps/ctrlProp22.xml><?xml version="1.0" encoding="utf-8"?>
<formControlPr xmlns="http://schemas.microsoft.com/office/spreadsheetml/2009/9/main" objectType="Scroll" dx="16" fmlaLink="$C$6" horiz="1" inc="5" max="2500" min="700" page="10" val="1525"/>
</file>

<file path=xl/ctrlProps/ctrlProp23.xml><?xml version="1.0" encoding="utf-8"?>
<formControlPr xmlns="http://schemas.microsoft.com/office/spreadsheetml/2009/9/main" objectType="Scroll" dx="16" fmlaLink="$C$3" horiz="1" max="1500" min="200" page="10" val="220"/>
</file>

<file path=xl/ctrlProps/ctrlProp24.xml><?xml version="1.0" encoding="utf-8"?>
<formControlPr xmlns="http://schemas.microsoft.com/office/spreadsheetml/2009/9/main" objectType="Scroll" dx="16" fmlaLink="$D$4" horiz="1" inc="25" max="2500" min="700" page="10" val="1000"/>
</file>

<file path=xl/ctrlProps/ctrlProp25.xml><?xml version="1.0" encoding="utf-8"?>
<formControlPr xmlns="http://schemas.microsoft.com/office/spreadsheetml/2009/9/main" objectType="Scroll" dx="16" fmlaLink="$D$5" horiz="1" inc="25" max="2500" min="700" page="10" val="1800"/>
</file>

<file path=xl/ctrlProps/ctrlProp26.xml><?xml version="1.0" encoding="utf-8"?>
<formControlPr xmlns="http://schemas.microsoft.com/office/spreadsheetml/2009/9/main" objectType="Scroll" dx="16" fmlaLink="$D$3" horiz="1" inc="25" max="400" min="75" page="10" val="125"/>
</file>

<file path=xl/ctrlProps/ctrlProp27.xml><?xml version="1.0" encoding="utf-8"?>
<formControlPr xmlns="http://schemas.microsoft.com/office/spreadsheetml/2009/9/main" objectType="Scroll" dx="16" fmlaLink="$E$4" horiz="1" max="15" min="5" page="10" val="7"/>
</file>

<file path=xl/ctrlProps/ctrlProp28.xml><?xml version="1.0" encoding="utf-8"?>
<formControlPr xmlns="http://schemas.microsoft.com/office/spreadsheetml/2009/9/main" objectType="Scroll" dx="16" fmlaLink="$E$5" horiz="1" max="15" min="5" page="10" val="9"/>
</file>

<file path=xl/ctrlProps/ctrlProp29.xml><?xml version="1.0" encoding="utf-8"?>
<formControlPr xmlns="http://schemas.microsoft.com/office/spreadsheetml/2009/9/main" objectType="Scroll" dx="15" fmlaLink="$G$4" horiz="1" inc="25" max="1500" min="750" page="10" val="950"/>
</file>

<file path=xl/ctrlProps/ctrlProp3.xml><?xml version="1.0" encoding="utf-8"?>
<formControlPr xmlns="http://schemas.microsoft.com/office/spreadsheetml/2009/9/main" objectType="Scroll" dx="16" fmlaLink="$H$5" horiz="1" inc="5" max="100" min="10" page="10" val="30"/>
</file>

<file path=xl/ctrlProps/ctrlProp30.xml><?xml version="1.0" encoding="utf-8"?>
<formControlPr xmlns="http://schemas.microsoft.com/office/spreadsheetml/2009/9/main" objectType="Scroll" dx="15" fmlaLink="$F$3" horiz="1" inc="5" max="150" min="10" page="10" val="85"/>
</file>

<file path=xl/ctrlProps/ctrlProp31.xml><?xml version="1.0" encoding="utf-8"?>
<formControlPr xmlns="http://schemas.microsoft.com/office/spreadsheetml/2009/9/main" objectType="Scroll" dx="15" fmlaLink="$G$5" horiz="1" inc="25" max="1000" min="200" page="10" val="525"/>
</file>

<file path=xl/ctrlProps/ctrlProp32.xml><?xml version="1.0" encoding="utf-8"?>
<formControlPr xmlns="http://schemas.microsoft.com/office/spreadsheetml/2009/9/main" objectType="Scroll" dx="15" fmlaLink="$G$3" horiz="1" inc="25" max="300" min="50" page="10" val="250"/>
</file>

<file path=xl/ctrlProps/ctrlProp33.xml><?xml version="1.0" encoding="utf-8"?>
<formControlPr xmlns="http://schemas.microsoft.com/office/spreadsheetml/2009/9/main" objectType="Scroll" dx="15" fmlaLink="$G$5" horiz="1" inc="25" max="1250" min="500" page="10" val="1250"/>
</file>

<file path=xl/ctrlProps/ctrlProp34.xml><?xml version="1.0" encoding="utf-8"?>
<formControlPr xmlns="http://schemas.microsoft.com/office/spreadsheetml/2009/9/main" objectType="Scroll" dx="15" fmlaLink="$G$4" horiz="1" inc="25" max="1500" min="800" page="10" val="1000"/>
</file>

<file path=xl/ctrlProps/ctrlProp35.xml><?xml version="1.0" encoding="utf-8"?>
<formControlPr xmlns="http://schemas.microsoft.com/office/spreadsheetml/2009/9/main" objectType="Scroll" dx="16" fmlaLink="$F$3" horiz="1" inc="250" max="10000" min="750" page="10" val="2500"/>
</file>

<file path=xl/ctrlProps/ctrlProp36.xml><?xml version="1.0" encoding="utf-8"?>
<formControlPr xmlns="http://schemas.microsoft.com/office/spreadsheetml/2009/9/main" objectType="Scroll" dx="16" fmlaLink="$F$4" horiz="1" max="5" min="3" page="10" val="5"/>
</file>

<file path=xl/ctrlProps/ctrlProp37.xml><?xml version="1.0" encoding="utf-8"?>
<formControlPr xmlns="http://schemas.microsoft.com/office/spreadsheetml/2009/9/main" objectType="Scroll" dx="16" fmlaLink="$F$5" horiz="1" inc="250" max="15000" min="750" page="10" val="3000"/>
</file>

<file path=xl/ctrlProps/ctrlProp38.xml><?xml version="1.0" encoding="utf-8"?>
<formControlPr xmlns="http://schemas.microsoft.com/office/spreadsheetml/2009/9/main" objectType="Scroll" dx="16" fmlaLink="$E$3" horiz="1" max="5" min="3" page="10" val="5"/>
</file>

<file path=xl/ctrlProps/ctrlProp39.xml><?xml version="1.0" encoding="utf-8"?>
<formControlPr xmlns="http://schemas.microsoft.com/office/spreadsheetml/2009/9/main" objectType="Scroll" dx="16" fmlaLink="$E$4" horiz="1" inc="250" max="10000" min="1000" page="10" val="7500"/>
</file>

<file path=xl/ctrlProps/ctrlProp4.xml><?xml version="1.0" encoding="utf-8"?>
<formControlPr xmlns="http://schemas.microsoft.com/office/spreadsheetml/2009/9/main" objectType="Scroll" dx="16" fmlaLink="$H$6" horiz="1" inc="5" max="15" min="5" page="10" val="10"/>
</file>

<file path=xl/ctrlProps/ctrlProp40.xml><?xml version="1.0" encoding="utf-8"?>
<formControlPr xmlns="http://schemas.microsoft.com/office/spreadsheetml/2009/9/main" objectType="Scroll" dx="15" fmlaLink="$G$3" horiz="1" inc="5" max="250" min="75" page="10" val="240"/>
</file>

<file path=xl/ctrlProps/ctrlProp41.xml><?xml version="1.0" encoding="utf-8"?>
<formControlPr xmlns="http://schemas.microsoft.com/office/spreadsheetml/2009/9/main" objectType="Scroll" dx="15" fmlaLink="$H$4" horiz="1" inc="25" max="1500" min="600" page="10" val="600"/>
</file>

<file path=xl/ctrlProps/ctrlProp42.xml><?xml version="1.0" encoding="utf-8"?>
<formControlPr xmlns="http://schemas.microsoft.com/office/spreadsheetml/2009/9/main" objectType="Scroll" dx="15" fmlaLink="$G$5" horiz="1" inc="25" max="7500" min="750" page="10" val="2500"/>
</file>

<file path=xl/ctrlProps/ctrlProp43.xml><?xml version="1.0" encoding="utf-8"?>
<formControlPr xmlns="http://schemas.microsoft.com/office/spreadsheetml/2009/9/main" objectType="Scroll" dx="15" fmlaLink="$H$3" horiz="1" inc="5" max="150" min="25" page="10" val="80"/>
</file>

<file path=xl/ctrlProps/ctrlProp44.xml><?xml version="1.0" encoding="utf-8"?>
<formControlPr xmlns="http://schemas.microsoft.com/office/spreadsheetml/2009/9/main" objectType="Scroll" dx="15" fmlaLink="$I$4" horiz="1" inc="25" max="1250" min="500" page="10" val="800"/>
</file>

<file path=xl/ctrlProps/ctrlProp45.xml><?xml version="1.0" encoding="utf-8"?>
<formControlPr xmlns="http://schemas.microsoft.com/office/spreadsheetml/2009/9/main" objectType="Scroll" dx="15" fmlaLink="$I$5" horiz="1" inc="25" max="2000" min="750" page="10" val="1475"/>
</file>

<file path=xl/ctrlProps/ctrlProp5.xml><?xml version="1.0" encoding="utf-8"?>
<formControlPr xmlns="http://schemas.microsoft.com/office/spreadsheetml/2009/9/main" objectType="Scroll" dx="16" fmlaLink="$F$3" horiz="1" inc="5" max="250" min="10" page="10" val="100"/>
</file>

<file path=xl/ctrlProps/ctrlProp6.xml><?xml version="1.0" encoding="utf-8"?>
<formControlPr xmlns="http://schemas.microsoft.com/office/spreadsheetml/2009/9/main" objectType="Scroll" dx="16" fmlaLink="$F$4" horiz="1" inc="25" max="5000" min="1000" page="10" val="3000"/>
</file>

<file path=xl/ctrlProps/ctrlProp7.xml><?xml version="1.0" encoding="utf-8"?>
<formControlPr xmlns="http://schemas.microsoft.com/office/spreadsheetml/2009/9/main" objectType="Scroll" dx="16" fmlaLink="$G$5" horiz="1" inc="5" max="40" min="10" page="10" val="30"/>
</file>

<file path=xl/ctrlProps/ctrlProp8.xml><?xml version="1.0" encoding="utf-8"?>
<formControlPr xmlns="http://schemas.microsoft.com/office/spreadsheetml/2009/9/main" objectType="Scroll" dx="16" fmlaLink="$G$6" horiz="1" inc="5" max="15" min="5" page="10" val="10"/>
</file>

<file path=xl/ctrlProps/ctrlProp9.xml><?xml version="1.0" encoding="utf-8"?>
<formControlPr xmlns="http://schemas.microsoft.com/office/spreadsheetml/2009/9/main" objectType="Scroll" dx="16" fmlaLink="$G$7" horiz="1" inc="5" max="15" min="5" page="10" val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</xdr:row>
          <xdr:rowOff>28575</xdr:rowOff>
        </xdr:from>
        <xdr:to>
          <xdr:col>5</xdr:col>
          <xdr:colOff>561975</xdr:colOff>
          <xdr:row>2</xdr:row>
          <xdr:rowOff>190500</xdr:rowOff>
        </xdr:to>
        <xdr:sp macro="" textlink="">
          <xdr:nvSpPr>
            <xdr:cNvPr id="28673" name="Scroll Bar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3</xdr:row>
          <xdr:rowOff>28575</xdr:rowOff>
        </xdr:from>
        <xdr:to>
          <xdr:col>5</xdr:col>
          <xdr:colOff>561975</xdr:colOff>
          <xdr:row>3</xdr:row>
          <xdr:rowOff>190500</xdr:rowOff>
        </xdr:to>
        <xdr:sp macro="" textlink="">
          <xdr:nvSpPr>
            <xdr:cNvPr id="28674" name="Scroll Bar 2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4</xdr:row>
          <xdr:rowOff>28575</xdr:rowOff>
        </xdr:from>
        <xdr:to>
          <xdr:col>5</xdr:col>
          <xdr:colOff>561975</xdr:colOff>
          <xdr:row>4</xdr:row>
          <xdr:rowOff>190500</xdr:rowOff>
        </xdr:to>
        <xdr:sp macro="" textlink="">
          <xdr:nvSpPr>
            <xdr:cNvPr id="28675" name="Scroll Bar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5</xdr:row>
          <xdr:rowOff>28575</xdr:rowOff>
        </xdr:from>
        <xdr:to>
          <xdr:col>5</xdr:col>
          <xdr:colOff>561975</xdr:colOff>
          <xdr:row>5</xdr:row>
          <xdr:rowOff>190500</xdr:rowOff>
        </xdr:to>
        <xdr:sp macro="" textlink="">
          <xdr:nvSpPr>
            <xdr:cNvPr id="28676" name="Scroll Bar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</xdr:row>
          <xdr:rowOff>28575</xdr:rowOff>
        </xdr:from>
        <xdr:to>
          <xdr:col>4</xdr:col>
          <xdr:colOff>533400</xdr:colOff>
          <xdr:row>3</xdr:row>
          <xdr:rowOff>180975</xdr:rowOff>
        </xdr:to>
        <xdr:sp macro="" textlink="">
          <xdr:nvSpPr>
            <xdr:cNvPr id="90113" name="Scroll Bar 1" hidden="1">
              <a:extLst>
                <a:ext uri="{63B3BB69-23CF-44E3-9099-C40C66FF867C}">
                  <a14:compatExt spid="_x0000_s90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</xdr:row>
          <xdr:rowOff>28575</xdr:rowOff>
        </xdr:from>
        <xdr:to>
          <xdr:col>4</xdr:col>
          <xdr:colOff>533400</xdr:colOff>
          <xdr:row>2</xdr:row>
          <xdr:rowOff>180975</xdr:rowOff>
        </xdr:to>
        <xdr:sp macro="" textlink="">
          <xdr:nvSpPr>
            <xdr:cNvPr id="90114" name="Scroll Bar 2" hidden="1">
              <a:extLst>
                <a:ext uri="{63B3BB69-23CF-44E3-9099-C40C66FF867C}">
                  <a14:compatExt spid="_x0000_s90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</xdr:row>
          <xdr:rowOff>28575</xdr:rowOff>
        </xdr:from>
        <xdr:to>
          <xdr:col>4</xdr:col>
          <xdr:colOff>533400</xdr:colOff>
          <xdr:row>4</xdr:row>
          <xdr:rowOff>180975</xdr:rowOff>
        </xdr:to>
        <xdr:sp macro="" textlink="">
          <xdr:nvSpPr>
            <xdr:cNvPr id="90115" name="Scroll Bar 3" hidden="1">
              <a:extLst>
                <a:ext uri="{63B3BB69-23CF-44E3-9099-C40C66FF867C}">
                  <a14:compatExt spid="_x0000_s90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2</xdr:row>
          <xdr:rowOff>28575</xdr:rowOff>
        </xdr:from>
        <xdr:to>
          <xdr:col>4</xdr:col>
          <xdr:colOff>542925</xdr:colOff>
          <xdr:row>2</xdr:row>
          <xdr:rowOff>180975</xdr:rowOff>
        </xdr:to>
        <xdr:sp macro="" textlink="">
          <xdr:nvSpPr>
            <xdr:cNvPr id="89089" name="Scroll Bar 1" hidden="1">
              <a:extLst>
                <a:ext uri="{63B3BB69-23CF-44E3-9099-C40C66FF867C}">
                  <a14:compatExt spid="_x0000_s89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</xdr:row>
          <xdr:rowOff>28575</xdr:rowOff>
        </xdr:from>
        <xdr:to>
          <xdr:col>4</xdr:col>
          <xdr:colOff>542925</xdr:colOff>
          <xdr:row>4</xdr:row>
          <xdr:rowOff>180975</xdr:rowOff>
        </xdr:to>
        <xdr:sp macro="" textlink="">
          <xdr:nvSpPr>
            <xdr:cNvPr id="89090" name="Scroll Bar 2" hidden="1">
              <a:extLst>
                <a:ext uri="{63B3BB69-23CF-44E3-9099-C40C66FF867C}">
                  <a14:compatExt spid="_x0000_s89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3</xdr:row>
          <xdr:rowOff>28575</xdr:rowOff>
        </xdr:from>
        <xdr:to>
          <xdr:col>4</xdr:col>
          <xdr:colOff>542925</xdr:colOff>
          <xdr:row>3</xdr:row>
          <xdr:rowOff>180975</xdr:rowOff>
        </xdr:to>
        <xdr:sp macro="" textlink="">
          <xdr:nvSpPr>
            <xdr:cNvPr id="89091" name="Scroll Bar 3" hidden="1">
              <a:extLst>
                <a:ext uri="{63B3BB69-23CF-44E3-9099-C40C66FF867C}">
                  <a14:compatExt spid="_x0000_s89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2</xdr:row>
          <xdr:rowOff>19050</xdr:rowOff>
        </xdr:from>
        <xdr:to>
          <xdr:col>4</xdr:col>
          <xdr:colOff>571500</xdr:colOff>
          <xdr:row>2</xdr:row>
          <xdr:rowOff>180975</xdr:rowOff>
        </xdr:to>
        <xdr:sp macro="" textlink="">
          <xdr:nvSpPr>
            <xdr:cNvPr id="10244" name="Scroll Bar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3</xdr:row>
          <xdr:rowOff>19050</xdr:rowOff>
        </xdr:from>
        <xdr:to>
          <xdr:col>4</xdr:col>
          <xdr:colOff>571500</xdr:colOff>
          <xdr:row>3</xdr:row>
          <xdr:rowOff>180975</xdr:rowOff>
        </xdr:to>
        <xdr:sp macro="" textlink="">
          <xdr:nvSpPr>
            <xdr:cNvPr id="10245" name="Scroll Bar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</xdr:row>
          <xdr:rowOff>19050</xdr:rowOff>
        </xdr:from>
        <xdr:to>
          <xdr:col>4</xdr:col>
          <xdr:colOff>571500</xdr:colOff>
          <xdr:row>4</xdr:row>
          <xdr:rowOff>180975</xdr:rowOff>
        </xdr:to>
        <xdr:sp macro="" textlink="">
          <xdr:nvSpPr>
            <xdr:cNvPr id="10246" name="Scroll Bar 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2228850</xdr:colOff>
          <xdr:row>2</xdr:row>
          <xdr:rowOff>19050</xdr:rowOff>
        </xdr:from>
        <xdr:to>
          <xdr:col>3</xdr:col>
          <xdr:colOff>2714625</xdr:colOff>
          <xdr:row>2</xdr:row>
          <xdr:rowOff>180975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2228850</xdr:colOff>
          <xdr:row>3</xdr:row>
          <xdr:rowOff>9525</xdr:rowOff>
        </xdr:from>
        <xdr:to>
          <xdr:col>3</xdr:col>
          <xdr:colOff>2714625</xdr:colOff>
          <xdr:row>3</xdr:row>
          <xdr:rowOff>171450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2</xdr:row>
          <xdr:rowOff>28575</xdr:rowOff>
        </xdr:from>
        <xdr:to>
          <xdr:col>5</xdr:col>
          <xdr:colOff>542925</xdr:colOff>
          <xdr:row>2</xdr:row>
          <xdr:rowOff>180975</xdr:rowOff>
        </xdr:to>
        <xdr:sp macro="" textlink="">
          <xdr:nvSpPr>
            <xdr:cNvPr id="91137" name="Scroll Bar 1" hidden="1">
              <a:extLst>
                <a:ext uri="{63B3BB69-23CF-44E3-9099-C40C66FF867C}">
                  <a14:compatExt spid="_x0000_s9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3</xdr:row>
          <xdr:rowOff>28575</xdr:rowOff>
        </xdr:from>
        <xdr:to>
          <xdr:col>5</xdr:col>
          <xdr:colOff>542925</xdr:colOff>
          <xdr:row>3</xdr:row>
          <xdr:rowOff>180975</xdr:rowOff>
        </xdr:to>
        <xdr:sp macro="" textlink="">
          <xdr:nvSpPr>
            <xdr:cNvPr id="91138" name="Scroll Bar 2" hidden="1">
              <a:extLst>
                <a:ext uri="{63B3BB69-23CF-44E3-9099-C40C66FF867C}">
                  <a14:compatExt spid="_x0000_s9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4</xdr:row>
          <xdr:rowOff>28575</xdr:rowOff>
        </xdr:from>
        <xdr:to>
          <xdr:col>5</xdr:col>
          <xdr:colOff>542925</xdr:colOff>
          <xdr:row>4</xdr:row>
          <xdr:rowOff>180975</xdr:rowOff>
        </xdr:to>
        <xdr:sp macro="" textlink="">
          <xdr:nvSpPr>
            <xdr:cNvPr id="91139" name="Scroll Bar 3" hidden="1">
              <a:extLst>
                <a:ext uri="{63B3BB69-23CF-44E3-9099-C40C66FF867C}">
                  <a14:compatExt spid="_x0000_s9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</xdr:row>
          <xdr:rowOff>28575</xdr:rowOff>
        </xdr:from>
        <xdr:to>
          <xdr:col>6</xdr:col>
          <xdr:colOff>552450</xdr:colOff>
          <xdr:row>2</xdr:row>
          <xdr:rowOff>180975</xdr:rowOff>
        </xdr:to>
        <xdr:sp macro="" textlink="">
          <xdr:nvSpPr>
            <xdr:cNvPr id="92161" name="Scroll Bar 1" hidden="1">
              <a:extLst>
                <a:ext uri="{63B3BB69-23CF-44E3-9099-C40C66FF867C}">
                  <a14:compatExt spid="_x0000_s92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3</xdr:row>
          <xdr:rowOff>28575</xdr:rowOff>
        </xdr:from>
        <xdr:to>
          <xdr:col>6</xdr:col>
          <xdr:colOff>552450</xdr:colOff>
          <xdr:row>3</xdr:row>
          <xdr:rowOff>180975</xdr:rowOff>
        </xdr:to>
        <xdr:sp macro="" textlink="">
          <xdr:nvSpPr>
            <xdr:cNvPr id="92162" name="Scroll Bar 2" hidden="1">
              <a:extLst>
                <a:ext uri="{63B3BB69-23CF-44E3-9099-C40C66FF867C}">
                  <a14:compatExt spid="_x0000_s92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</xdr:row>
          <xdr:rowOff>28575</xdr:rowOff>
        </xdr:from>
        <xdr:to>
          <xdr:col>6</xdr:col>
          <xdr:colOff>552450</xdr:colOff>
          <xdr:row>4</xdr:row>
          <xdr:rowOff>180975</xdr:rowOff>
        </xdr:to>
        <xdr:sp macro="" textlink="">
          <xdr:nvSpPr>
            <xdr:cNvPr id="92163" name="Scroll Bar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</xdr:row>
          <xdr:rowOff>28575</xdr:rowOff>
        </xdr:from>
        <xdr:to>
          <xdr:col>4</xdr:col>
          <xdr:colOff>561975</xdr:colOff>
          <xdr:row>2</xdr:row>
          <xdr:rowOff>190500</xdr:rowOff>
        </xdr:to>
        <xdr:sp macro="" textlink="">
          <xdr:nvSpPr>
            <xdr:cNvPr id="29697" name="Scroll Bar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</xdr:row>
          <xdr:rowOff>28575</xdr:rowOff>
        </xdr:from>
        <xdr:to>
          <xdr:col>4</xdr:col>
          <xdr:colOff>561975</xdr:colOff>
          <xdr:row>3</xdr:row>
          <xdr:rowOff>190500</xdr:rowOff>
        </xdr:to>
        <xdr:sp macro="" textlink="">
          <xdr:nvSpPr>
            <xdr:cNvPr id="29698" name="Scroll Bar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</xdr:row>
          <xdr:rowOff>28575</xdr:rowOff>
        </xdr:from>
        <xdr:to>
          <xdr:col>4</xdr:col>
          <xdr:colOff>561975</xdr:colOff>
          <xdr:row>4</xdr:row>
          <xdr:rowOff>190500</xdr:rowOff>
        </xdr:to>
        <xdr:sp macro="" textlink="">
          <xdr:nvSpPr>
            <xdr:cNvPr id="29699" name="Scroll Bar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28575</xdr:rowOff>
        </xdr:from>
        <xdr:to>
          <xdr:col>4</xdr:col>
          <xdr:colOff>561975</xdr:colOff>
          <xdr:row>5</xdr:row>
          <xdr:rowOff>190500</xdr:rowOff>
        </xdr:to>
        <xdr:sp macro="" textlink="">
          <xdr:nvSpPr>
            <xdr:cNvPr id="29700" name="Scroll Bar 4" hidden="1">
              <a:extLst>
                <a:ext uri="{63B3BB69-23CF-44E3-9099-C40C66FF867C}">
                  <a14:compatExt spid="_x0000_s29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</xdr:row>
          <xdr:rowOff>28575</xdr:rowOff>
        </xdr:from>
        <xdr:to>
          <xdr:col>4</xdr:col>
          <xdr:colOff>561975</xdr:colOff>
          <xdr:row>6</xdr:row>
          <xdr:rowOff>190500</xdr:rowOff>
        </xdr:to>
        <xdr:sp macro="" textlink="">
          <xdr:nvSpPr>
            <xdr:cNvPr id="29701" name="Scroll Bar 5" hidden="1">
              <a:extLst>
                <a:ext uri="{63B3BB69-23CF-44E3-9099-C40C66FF867C}">
                  <a14:compatExt spid="_x0000_s29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</xdr:row>
          <xdr:rowOff>19050</xdr:rowOff>
        </xdr:from>
        <xdr:to>
          <xdr:col>5</xdr:col>
          <xdr:colOff>552450</xdr:colOff>
          <xdr:row>3</xdr:row>
          <xdr:rowOff>180975</xdr:rowOff>
        </xdr:to>
        <xdr:sp macro="" textlink="">
          <xdr:nvSpPr>
            <xdr:cNvPr id="82945" name="Scroll Bar 1" hidden="1">
              <a:extLst>
                <a:ext uri="{63B3BB69-23CF-44E3-9099-C40C66FF867C}">
                  <a14:compatExt spid="_x0000_s82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</xdr:row>
          <xdr:rowOff>19050</xdr:rowOff>
        </xdr:from>
        <xdr:to>
          <xdr:col>5</xdr:col>
          <xdr:colOff>552450</xdr:colOff>
          <xdr:row>2</xdr:row>
          <xdr:rowOff>180975</xdr:rowOff>
        </xdr:to>
        <xdr:sp macro="" textlink="">
          <xdr:nvSpPr>
            <xdr:cNvPr id="82946" name="Scroll Bar 2" hidden="1">
              <a:extLst>
                <a:ext uri="{63B3BB69-23CF-44E3-9099-C40C66FF867C}">
                  <a14:compatExt spid="_x0000_s829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1466850</xdr:colOff>
          <xdr:row>3</xdr:row>
          <xdr:rowOff>28575</xdr:rowOff>
        </xdr:from>
        <xdr:to>
          <xdr:col>2</xdr:col>
          <xdr:colOff>1924050</xdr:colOff>
          <xdr:row>3</xdr:row>
          <xdr:rowOff>180975</xdr:rowOff>
        </xdr:to>
        <xdr:sp macro="" textlink="">
          <xdr:nvSpPr>
            <xdr:cNvPr id="93185" name="Scroll Bar 1" hidden="1">
              <a:extLst>
                <a:ext uri="{63B3BB69-23CF-44E3-9099-C40C66FF867C}">
                  <a14:compatExt spid="_x0000_s93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1466850</xdr:colOff>
          <xdr:row>4</xdr:row>
          <xdr:rowOff>28575</xdr:rowOff>
        </xdr:from>
        <xdr:to>
          <xdr:col>2</xdr:col>
          <xdr:colOff>1924050</xdr:colOff>
          <xdr:row>4</xdr:row>
          <xdr:rowOff>180975</xdr:rowOff>
        </xdr:to>
        <xdr:sp macro="" textlink="">
          <xdr:nvSpPr>
            <xdr:cNvPr id="93186" name="Scroll Bar 2" hidden="1">
              <a:extLst>
                <a:ext uri="{63B3BB69-23CF-44E3-9099-C40C66FF867C}">
                  <a14:compatExt spid="_x0000_s93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</xdr:row>
          <xdr:rowOff>19050</xdr:rowOff>
        </xdr:from>
        <xdr:to>
          <xdr:col>5</xdr:col>
          <xdr:colOff>552450</xdr:colOff>
          <xdr:row>3</xdr:row>
          <xdr:rowOff>180975</xdr:rowOff>
        </xdr:to>
        <xdr:sp macro="" textlink="">
          <xdr:nvSpPr>
            <xdr:cNvPr id="83969" name="Scroll Bar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</xdr:row>
          <xdr:rowOff>19050</xdr:rowOff>
        </xdr:from>
        <xdr:to>
          <xdr:col>5</xdr:col>
          <xdr:colOff>552450</xdr:colOff>
          <xdr:row>2</xdr:row>
          <xdr:rowOff>180975</xdr:rowOff>
        </xdr:to>
        <xdr:sp macro="" textlink="">
          <xdr:nvSpPr>
            <xdr:cNvPr id="83970" name="Scroll Bar 2" hidden="1">
              <a:extLst>
                <a:ext uri="{63B3BB69-23CF-44E3-9099-C40C66FF867C}">
                  <a14:compatExt spid="_x0000_s839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5</xdr:row>
          <xdr:rowOff>38100</xdr:rowOff>
        </xdr:from>
        <xdr:to>
          <xdr:col>5</xdr:col>
          <xdr:colOff>552450</xdr:colOff>
          <xdr:row>5</xdr:row>
          <xdr:rowOff>200025</xdr:rowOff>
        </xdr:to>
        <xdr:sp macro="" textlink="">
          <xdr:nvSpPr>
            <xdr:cNvPr id="83971" name="Scroll Bar 3" hidden="1">
              <a:extLst>
                <a:ext uri="{63B3BB69-23CF-44E3-9099-C40C66FF867C}">
                  <a14:compatExt spid="_x0000_s839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457200</xdr:colOff>
          <xdr:row>2</xdr:row>
          <xdr:rowOff>28575</xdr:rowOff>
        </xdr:from>
        <xdr:to>
          <xdr:col>4</xdr:col>
          <xdr:colOff>152400</xdr:colOff>
          <xdr:row>2</xdr:row>
          <xdr:rowOff>180975</xdr:rowOff>
        </xdr:to>
        <xdr:sp macro="" textlink="">
          <xdr:nvSpPr>
            <xdr:cNvPr id="94209" name="Scroll Bar 1" hidden="1">
              <a:extLst>
                <a:ext uri="{63B3BB69-23CF-44E3-9099-C40C66FF867C}">
                  <a14:compatExt spid="_x0000_s94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457200</xdr:colOff>
          <xdr:row>3</xdr:row>
          <xdr:rowOff>28575</xdr:rowOff>
        </xdr:from>
        <xdr:to>
          <xdr:col>4</xdr:col>
          <xdr:colOff>152400</xdr:colOff>
          <xdr:row>3</xdr:row>
          <xdr:rowOff>180975</xdr:rowOff>
        </xdr:to>
        <xdr:sp macro="" textlink="">
          <xdr:nvSpPr>
            <xdr:cNvPr id="94210" name="Scroll Bar 2" hidden="1">
              <a:extLst>
                <a:ext uri="{63B3BB69-23CF-44E3-9099-C40C66FF867C}">
                  <a14:compatExt spid="_x0000_s94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457199</xdr:colOff>
      <xdr:row>5</xdr:row>
      <xdr:rowOff>152400</xdr:rowOff>
    </xdr:from>
    <xdr:to>
      <xdr:col>7</xdr:col>
      <xdr:colOff>114299</xdr:colOff>
      <xdr:row>7</xdr:row>
      <xdr:rowOff>0</xdr:rowOff>
    </xdr:to>
    <xdr:sp macro="" textlink="">
      <xdr:nvSpPr>
        <xdr:cNvPr id="2" name="TextBox 1"/>
        <xdr:cNvSpPr txBox="1"/>
      </xdr:nvSpPr>
      <xdr:spPr>
        <a:xfrm>
          <a:off x="5353049" y="1209675"/>
          <a:ext cx="2571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700"/>
            <a:t>1</a:t>
          </a:r>
        </a:p>
      </xdr:txBody>
    </xdr:sp>
    <xdr:clientData/>
  </xdr:twoCellAnchor>
  <xdr:twoCellAnchor>
    <xdr:from>
      <xdr:col>8</xdr:col>
      <xdr:colOff>466724</xdr:colOff>
      <xdr:row>5</xdr:row>
      <xdr:rowOff>152400</xdr:rowOff>
    </xdr:from>
    <xdr:to>
      <xdr:col>9</xdr:col>
      <xdr:colOff>123824</xdr:colOff>
      <xdr:row>7</xdr:row>
      <xdr:rowOff>0</xdr:rowOff>
    </xdr:to>
    <xdr:sp macro="" textlink="">
      <xdr:nvSpPr>
        <xdr:cNvPr id="3" name="TextBox 2"/>
        <xdr:cNvSpPr txBox="1"/>
      </xdr:nvSpPr>
      <xdr:spPr>
        <a:xfrm>
          <a:off x="6248399" y="1209675"/>
          <a:ext cx="17145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d-ID" sz="700"/>
            <a:t>1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2000250</xdr:colOff>
          <xdr:row>2</xdr:row>
          <xdr:rowOff>28575</xdr:rowOff>
        </xdr:from>
        <xdr:to>
          <xdr:col>1</xdr:col>
          <xdr:colOff>2486025</xdr:colOff>
          <xdr:row>2</xdr:row>
          <xdr:rowOff>190500</xdr:rowOff>
        </xdr:to>
        <xdr:sp macro="" textlink="">
          <xdr:nvSpPr>
            <xdr:cNvPr id="86017" name="Scroll Bar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2000250</xdr:colOff>
          <xdr:row>3</xdr:row>
          <xdr:rowOff>28575</xdr:rowOff>
        </xdr:from>
        <xdr:to>
          <xdr:col>1</xdr:col>
          <xdr:colOff>2486025</xdr:colOff>
          <xdr:row>3</xdr:row>
          <xdr:rowOff>190500</xdr:rowOff>
        </xdr:to>
        <xdr:sp macro="" textlink="">
          <xdr:nvSpPr>
            <xdr:cNvPr id="86018" name="Scroll Bar 2" hidden="1">
              <a:extLst>
                <a:ext uri="{63B3BB69-23CF-44E3-9099-C40C66FF867C}">
                  <a14:compatExt spid="_x0000_s860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2000250</xdr:colOff>
          <xdr:row>4</xdr:row>
          <xdr:rowOff>19050</xdr:rowOff>
        </xdr:from>
        <xdr:to>
          <xdr:col>1</xdr:col>
          <xdr:colOff>2486025</xdr:colOff>
          <xdr:row>4</xdr:row>
          <xdr:rowOff>180975</xdr:rowOff>
        </xdr:to>
        <xdr:sp macro="" textlink="">
          <xdr:nvSpPr>
            <xdr:cNvPr id="86019" name="Scroll Bar 3" hidden="1">
              <a:extLst>
                <a:ext uri="{63B3BB69-23CF-44E3-9099-C40C66FF867C}">
                  <a14:compatExt spid="_x0000_s860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2000250</xdr:colOff>
          <xdr:row>5</xdr:row>
          <xdr:rowOff>9525</xdr:rowOff>
        </xdr:from>
        <xdr:to>
          <xdr:col>1</xdr:col>
          <xdr:colOff>2486025</xdr:colOff>
          <xdr:row>5</xdr:row>
          <xdr:rowOff>171450</xdr:rowOff>
        </xdr:to>
        <xdr:sp macro="" textlink="">
          <xdr:nvSpPr>
            <xdr:cNvPr id="86020" name="Scroll Bar 4" hidden="1">
              <a:extLst>
                <a:ext uri="{63B3BB69-23CF-44E3-9099-C40C66FF867C}">
                  <a14:compatExt spid="_x0000_s860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2390775</xdr:colOff>
          <xdr:row>2</xdr:row>
          <xdr:rowOff>28575</xdr:rowOff>
        </xdr:from>
        <xdr:to>
          <xdr:col>1</xdr:col>
          <xdr:colOff>2876550</xdr:colOff>
          <xdr:row>2</xdr:row>
          <xdr:rowOff>190500</xdr:rowOff>
        </xdr:to>
        <xdr:sp macro="" textlink="">
          <xdr:nvSpPr>
            <xdr:cNvPr id="132097" name="Scroll Bar 1" hidden="1">
              <a:extLst>
                <a:ext uri="{63B3BB69-23CF-44E3-9099-C40C66FF867C}">
                  <a14:compatExt spid="_x0000_s132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2390775</xdr:colOff>
          <xdr:row>3</xdr:row>
          <xdr:rowOff>19050</xdr:rowOff>
        </xdr:from>
        <xdr:to>
          <xdr:col>1</xdr:col>
          <xdr:colOff>2876550</xdr:colOff>
          <xdr:row>3</xdr:row>
          <xdr:rowOff>180975</xdr:rowOff>
        </xdr:to>
        <xdr:sp macro="" textlink="">
          <xdr:nvSpPr>
            <xdr:cNvPr id="132098" name="Scroll Bar 2" hidden="1">
              <a:extLst>
                <a:ext uri="{63B3BB69-23CF-44E3-9099-C40C66FF867C}">
                  <a14:compatExt spid="_x0000_s13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2390775</xdr:colOff>
          <xdr:row>4</xdr:row>
          <xdr:rowOff>9525</xdr:rowOff>
        </xdr:from>
        <xdr:to>
          <xdr:col>1</xdr:col>
          <xdr:colOff>2876550</xdr:colOff>
          <xdr:row>4</xdr:row>
          <xdr:rowOff>171450</xdr:rowOff>
        </xdr:to>
        <xdr:sp macro="" textlink="">
          <xdr:nvSpPr>
            <xdr:cNvPr id="132099" name="Scroll Bar 3" hidden="1">
              <a:extLst>
                <a:ext uri="{63B3BB69-23CF-44E3-9099-C40C66FF867C}">
                  <a14:compatExt spid="_x0000_s132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2962275</xdr:colOff>
          <xdr:row>2</xdr:row>
          <xdr:rowOff>28575</xdr:rowOff>
        </xdr:from>
        <xdr:to>
          <xdr:col>2</xdr:col>
          <xdr:colOff>3448050</xdr:colOff>
          <xdr:row>2</xdr:row>
          <xdr:rowOff>190500</xdr:rowOff>
        </xdr:to>
        <xdr:sp macro="" textlink="">
          <xdr:nvSpPr>
            <xdr:cNvPr id="9220" name="Scroll Bar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2962275</xdr:colOff>
          <xdr:row>3</xdr:row>
          <xdr:rowOff>28575</xdr:rowOff>
        </xdr:from>
        <xdr:to>
          <xdr:col>2</xdr:col>
          <xdr:colOff>3448050</xdr:colOff>
          <xdr:row>3</xdr:row>
          <xdr:rowOff>190500</xdr:rowOff>
        </xdr:to>
        <xdr:sp macro="" textlink="">
          <xdr:nvSpPr>
            <xdr:cNvPr id="9221" name="Scroll Bar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2962275</xdr:colOff>
          <xdr:row>4</xdr:row>
          <xdr:rowOff>19050</xdr:rowOff>
        </xdr:from>
        <xdr:to>
          <xdr:col>2</xdr:col>
          <xdr:colOff>3448050</xdr:colOff>
          <xdr:row>4</xdr:row>
          <xdr:rowOff>180975</xdr:rowOff>
        </xdr:to>
        <xdr:sp macro="" textlink="">
          <xdr:nvSpPr>
            <xdr:cNvPr id="9222" name="Scroll Bar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2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0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3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5" Type="http://schemas.openxmlformats.org/officeDocument/2006/relationships/ctrlProp" Target="../ctrlProps/ctrlProp45.xml"/><Relationship Id="rId4" Type="http://schemas.openxmlformats.org/officeDocument/2006/relationships/ctrlProp" Target="../ctrlProps/ctrlProp4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3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5" Type="http://schemas.openxmlformats.org/officeDocument/2006/relationships/ctrlProp" Target="../ctrlProps/ctrlProp25.xml"/><Relationship Id="rId4" Type="http://schemas.openxmlformats.org/officeDocument/2006/relationships/ctrlProp" Target="../ctrlProps/ctrlProp2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6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5" Type="http://schemas.openxmlformats.org/officeDocument/2006/relationships/ctrlProp" Target="../ctrlProps/ctrlProp28.xml"/><Relationship Id="rId4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8"/>
  <sheetViews>
    <sheetView showGridLines="0" workbookViewId="0">
      <selection activeCell="C15" sqref="C15"/>
    </sheetView>
  </sheetViews>
  <sheetFormatPr defaultRowHeight="18" customHeight="1" x14ac:dyDescent="0.2"/>
  <cols>
    <col min="1" max="1" width="5.85546875" style="1" customWidth="1"/>
    <col min="2" max="2" width="6" style="1" customWidth="1"/>
    <col min="3" max="3" width="10.5703125" style="1" customWidth="1"/>
    <col min="4" max="4" width="9.28515625" style="1" bestFit="1" customWidth="1"/>
    <col min="5" max="5" width="9.28515625" style="1" customWidth="1"/>
    <col min="6" max="6" width="9.28515625" style="1" bestFit="1" customWidth="1"/>
    <col min="7" max="7" width="11.5703125" style="1" bestFit="1" customWidth="1"/>
    <col min="8" max="8" width="3.7109375" style="1" customWidth="1"/>
    <col min="9" max="9" width="45.28515625" style="1" customWidth="1"/>
    <col min="10" max="10" width="5.85546875" style="1" customWidth="1"/>
    <col min="11" max="16384" width="9.140625" style="1"/>
  </cols>
  <sheetData>
    <row r="1" spans="2:11" ht="19.5" customHeight="1" x14ac:dyDescent="0.2"/>
    <row r="2" spans="2:11" ht="18" customHeight="1" x14ac:dyDescent="0.2">
      <c r="B2" s="8" t="s">
        <v>2</v>
      </c>
    </row>
    <row r="3" spans="2:11" ht="17.25" customHeight="1" x14ac:dyDescent="0.2">
      <c r="B3" s="65" t="s">
        <v>40</v>
      </c>
      <c r="C3" s="66"/>
      <c r="D3" s="66"/>
      <c r="E3" s="66"/>
      <c r="F3" s="66"/>
      <c r="G3" s="69">
        <v>100</v>
      </c>
    </row>
    <row r="4" spans="2:11" ht="17.25" customHeight="1" x14ac:dyDescent="0.2">
      <c r="B4" s="65" t="s">
        <v>0</v>
      </c>
      <c r="C4" s="66"/>
      <c r="D4" s="66"/>
      <c r="E4" s="66"/>
      <c r="F4" s="66"/>
      <c r="G4" s="70">
        <v>2500</v>
      </c>
      <c r="I4" s="131" t="str">
        <f>"Harga beli "&amp;G3&amp;" lot saham dengan harga per lembar "&amp;TEXT(G4,"Rp #.###")&amp;", komisi pembelian "&amp;TEXT(G5,"0,#0%")&amp;" dan tarif PPN "&amp;TEXT(G6,"#%")&amp;" adalah Rp "&amp;TEXT(G3*100*G4+(G3*100*G4)*G5*(1+G6),"#.###")</f>
        <v>Harga beli 100 lot saham dengan harga per lembar Rp 2.500, komisi pembelian 0,30% dan tarif PPN 10% adalah Rp 25.082.500</v>
      </c>
    </row>
    <row r="5" spans="2:11" ht="17.25" customHeight="1" x14ac:dyDescent="0.2">
      <c r="B5" s="65" t="s">
        <v>1</v>
      </c>
      <c r="C5" s="66"/>
      <c r="D5" s="66"/>
      <c r="E5" s="66"/>
      <c r="F5" s="66"/>
      <c r="G5" s="71">
        <f>H5/10000</f>
        <v>3.0000000000000001E-3</v>
      </c>
      <c r="H5" s="2">
        <v>30</v>
      </c>
      <c r="I5" s="131"/>
    </row>
    <row r="6" spans="2:11" ht="17.25" customHeight="1" x14ac:dyDescent="0.2">
      <c r="B6" s="67" t="s">
        <v>20</v>
      </c>
      <c r="C6" s="68"/>
      <c r="D6" s="68"/>
      <c r="E6" s="68"/>
      <c r="F6" s="68"/>
      <c r="G6" s="110">
        <f>H6/100</f>
        <v>0.1</v>
      </c>
      <c r="H6" s="2">
        <v>10</v>
      </c>
      <c r="I6" s="131"/>
    </row>
    <row r="7" spans="2:11" ht="15.75" customHeight="1" x14ac:dyDescent="0.2"/>
    <row r="8" spans="2:11" ht="15.75" customHeight="1" x14ac:dyDescent="0.2">
      <c r="B8" s="6" t="s">
        <v>17</v>
      </c>
    </row>
    <row r="9" spans="2:11" ht="15.75" customHeight="1" x14ac:dyDescent="0.2">
      <c r="B9" s="60" t="s">
        <v>18</v>
      </c>
      <c r="C9" s="1" t="s">
        <v>19</v>
      </c>
    </row>
    <row r="10" spans="2:11" ht="15.75" customHeight="1" x14ac:dyDescent="0.2">
      <c r="B10" s="60" t="s">
        <v>18</v>
      </c>
      <c r="C10" s="1" t="str">
        <f>TEXT(G3,"#")&amp;" x 100  x "&amp;TEXT(G4,"#.#00")</f>
        <v>100 x 100  x 2.500</v>
      </c>
    </row>
    <row r="11" spans="2:11" ht="15.75" customHeight="1" x14ac:dyDescent="0.2">
      <c r="B11" s="60" t="s">
        <v>18</v>
      </c>
      <c r="C11" s="17">
        <f>G3*100*G4</f>
        <v>25000000</v>
      </c>
      <c r="D11" s="62"/>
    </row>
    <row r="12" spans="2:11" ht="15.75" customHeight="1" x14ac:dyDescent="0.2">
      <c r="B12" s="3"/>
      <c r="C12" s="4"/>
      <c r="D12" s="4"/>
    </row>
    <row r="13" spans="2:11" ht="15.75" customHeight="1" x14ac:dyDescent="0.2">
      <c r="B13" s="6" t="s">
        <v>33</v>
      </c>
      <c r="C13" s="4"/>
      <c r="D13" s="4"/>
      <c r="G13" s="59" t="s">
        <v>31</v>
      </c>
    </row>
    <row r="14" spans="2:11" ht="15.75" customHeight="1" x14ac:dyDescent="0.2">
      <c r="B14" s="60" t="s">
        <v>18</v>
      </c>
      <c r="C14" s="4" t="s">
        <v>28</v>
      </c>
      <c r="D14" s="4"/>
      <c r="G14" s="60" t="s">
        <v>18</v>
      </c>
      <c r="H14" s="1" t="s">
        <v>32</v>
      </c>
    </row>
    <row r="15" spans="2:11" ht="15.75" customHeight="1" x14ac:dyDescent="0.2">
      <c r="B15" s="60" t="s">
        <v>18</v>
      </c>
      <c r="C15" s="4" t="str">
        <f>TEXT(G5*100,"0,00")&amp;"% x "&amp;TEXT(C11,"#.#00")&amp;" x (1 + "&amp;TEXT(G6*100,"#")&amp;"%)"</f>
        <v>0,30% x 25.000.000 x (1 + 10%)</v>
      </c>
      <c r="D15" s="4"/>
      <c r="G15" s="60" t="s">
        <v>18</v>
      </c>
      <c r="H15" s="1" t="str">
        <f>TEXT(C11,"#.#00")&amp;" + "&amp;TEXT(C17,"#.00")</f>
        <v>25.000.000 + 82.500</v>
      </c>
    </row>
    <row r="16" spans="2:11" ht="15.75" customHeight="1" x14ac:dyDescent="0.2">
      <c r="B16" s="60" t="s">
        <v>18</v>
      </c>
      <c r="C16" s="4" t="str">
        <f>TEXT(G5*C11,"#.#00"&amp;" x "&amp;TEXT(100+G6*100,"#")&amp;"%")</f>
        <v>7.500.00 x 110%</v>
      </c>
      <c r="D16" s="4"/>
      <c r="G16" s="60" t="s">
        <v>18</v>
      </c>
      <c r="H16" s="130">
        <f>C11+C17</f>
        <v>25082500</v>
      </c>
      <c r="I16" s="130"/>
      <c r="K16" s="64"/>
    </row>
    <row r="17" spans="2:4" ht="15.75" customHeight="1" x14ac:dyDescent="0.2">
      <c r="B17" s="60" t="s">
        <v>18</v>
      </c>
      <c r="C17" s="17">
        <f>G5*C11*(1+G6)</f>
        <v>82500</v>
      </c>
      <c r="D17" s="63"/>
    </row>
    <row r="18" spans="2:4" ht="19.5" customHeight="1" x14ac:dyDescent="0.2"/>
  </sheetData>
  <mergeCells count="2">
    <mergeCell ref="H16:I16"/>
    <mergeCell ref="I4:I6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Scroll Bar 1">
              <controlPr defaultSize="0" autoPict="0">
                <anchor moveWithCells="1">
                  <from>
                    <xdr:col>5</xdr:col>
                    <xdr:colOff>76200</xdr:colOff>
                    <xdr:row>2</xdr:row>
                    <xdr:rowOff>28575</xdr:rowOff>
                  </from>
                  <to>
                    <xdr:col>5</xdr:col>
                    <xdr:colOff>561975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5" name="Scroll Bar 2">
              <controlPr defaultSize="0" autoPict="0">
                <anchor moveWithCells="1">
                  <from>
                    <xdr:col>5</xdr:col>
                    <xdr:colOff>76200</xdr:colOff>
                    <xdr:row>3</xdr:row>
                    <xdr:rowOff>28575</xdr:rowOff>
                  </from>
                  <to>
                    <xdr:col>5</xdr:col>
                    <xdr:colOff>561975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6" name="Scroll Bar 3">
              <controlPr defaultSize="0" autoPict="0">
                <anchor moveWithCells="1">
                  <from>
                    <xdr:col>5</xdr:col>
                    <xdr:colOff>76200</xdr:colOff>
                    <xdr:row>4</xdr:row>
                    <xdr:rowOff>28575</xdr:rowOff>
                  </from>
                  <to>
                    <xdr:col>5</xdr:col>
                    <xdr:colOff>561975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7" name="Scroll Bar 4">
              <controlPr defaultSize="0" autoPict="0">
                <anchor moveWithCells="1">
                  <from>
                    <xdr:col>5</xdr:col>
                    <xdr:colOff>76200</xdr:colOff>
                    <xdr:row>5</xdr:row>
                    <xdr:rowOff>28575</xdr:rowOff>
                  </from>
                  <to>
                    <xdr:col>5</xdr:col>
                    <xdr:colOff>561975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3"/>
  <sheetViews>
    <sheetView showGridLines="0" workbookViewId="0">
      <selection activeCell="B6" sqref="B6:F8"/>
    </sheetView>
  </sheetViews>
  <sheetFormatPr defaultRowHeight="15" x14ac:dyDescent="0.2"/>
  <cols>
    <col min="1" max="1" width="5.85546875" style="18" customWidth="1"/>
    <col min="2" max="2" width="4.42578125" style="18" customWidth="1"/>
    <col min="3" max="3" width="6.28515625" style="18" customWidth="1"/>
    <col min="4" max="4" width="22.5703125" style="18" customWidth="1"/>
    <col min="5" max="5" width="9.140625" style="18"/>
    <col min="6" max="6" width="11.85546875" style="18" customWidth="1"/>
    <col min="7" max="7" width="5.85546875" style="18" customWidth="1"/>
    <col min="8" max="16384" width="9.140625" style="18"/>
  </cols>
  <sheetData>
    <row r="1" spans="2:7" ht="19.5" customHeight="1" x14ac:dyDescent="0.2"/>
    <row r="2" spans="2:7" ht="18.75" x14ac:dyDescent="0.2">
      <c r="B2" s="55" t="s">
        <v>82</v>
      </c>
    </row>
    <row r="3" spans="2:7" ht="16.5" customHeight="1" x14ac:dyDescent="0.2">
      <c r="B3" s="34" t="s">
        <v>83</v>
      </c>
      <c r="C3" s="35"/>
      <c r="D3" s="35"/>
      <c r="E3" s="35"/>
      <c r="F3" s="95">
        <v>85</v>
      </c>
    </row>
    <row r="4" spans="2:7" ht="16.5" customHeight="1" x14ac:dyDescent="0.2">
      <c r="B4" s="34" t="s">
        <v>84</v>
      </c>
      <c r="C4" s="35"/>
      <c r="D4" s="35"/>
      <c r="E4" s="35"/>
      <c r="F4" s="38">
        <f>G4/10000</f>
        <v>9.5000000000000001E-2</v>
      </c>
      <c r="G4" s="26">
        <v>950</v>
      </c>
    </row>
    <row r="5" spans="2:7" ht="16.5" customHeight="1" x14ac:dyDescent="0.2">
      <c r="B5" s="34" t="s">
        <v>85</v>
      </c>
      <c r="C5" s="35"/>
      <c r="D5" s="35"/>
      <c r="E5" s="35"/>
      <c r="F5" s="38">
        <f>G5/10000</f>
        <v>5.2499999999999998E-2</v>
      </c>
      <c r="G5" s="26">
        <v>525</v>
      </c>
    </row>
    <row r="6" spans="2:7" ht="16.5" customHeight="1" x14ac:dyDescent="0.2">
      <c r="B6" s="155" t="str">
        <f>"Harga saham biasa dengan dividen per lembar Rp "&amp;F3&amp;", dengan tingkat pengembalian diharapkan "&amp;TEXT(F4,"#,00%")&amp;" dan tingkat pertumbuhan "&amp;TEXT(F5,"#,00%")&amp;", adalah "&amp;TEXT((F3*(1+F5))/(F4-F5),"Rp #.###")</f>
        <v>Harga saham biasa dengan dividen per lembar Rp 85, dengan tingkat pengembalian diharapkan 9,50% dan tingkat pertumbuhan 5,25%, adalah Rp 2.105</v>
      </c>
      <c r="C6" s="155"/>
      <c r="D6" s="155"/>
      <c r="E6" s="155"/>
      <c r="F6" s="155"/>
    </row>
    <row r="7" spans="2:7" x14ac:dyDescent="0.2">
      <c r="B7" s="155"/>
      <c r="C7" s="155"/>
      <c r="D7" s="155"/>
      <c r="E7" s="155"/>
      <c r="F7" s="155"/>
    </row>
    <row r="8" spans="2:7" x14ac:dyDescent="0.2">
      <c r="B8" s="155"/>
      <c r="C8" s="155"/>
      <c r="D8" s="155"/>
      <c r="E8" s="155"/>
      <c r="F8" s="155"/>
    </row>
    <row r="9" spans="2:7" x14ac:dyDescent="0.2">
      <c r="F9" s="94"/>
    </row>
    <row r="10" spans="2:7" x14ac:dyDescent="0.2">
      <c r="B10" s="57" t="s">
        <v>86</v>
      </c>
    </row>
    <row r="11" spans="2:7" x14ac:dyDescent="0.2">
      <c r="B11" s="53" t="s">
        <v>18</v>
      </c>
      <c r="C11" s="18" t="str">
        <f>"["&amp;TEXT(F3,"#")&amp;" x (1 + "&amp;TEXT(F5,"#,00%")&amp;TEXT(F4,"#.###")&amp;")] / ("&amp;TEXT(F4,"#,00%")&amp;" - "&amp;TEXT(F5,"#,00%")&amp;")"</f>
        <v>[85 x (1 + 5,25%)] / (9,50% - 5,25%)</v>
      </c>
    </row>
    <row r="12" spans="2:7" x14ac:dyDescent="0.2">
      <c r="B12" s="53" t="s">
        <v>18</v>
      </c>
      <c r="C12" s="94">
        <f>(F3*(1+F5))/(F4-F5)</f>
        <v>2105</v>
      </c>
      <c r="D12" s="96"/>
    </row>
    <row r="13" spans="2:7" ht="19.5" customHeight="1" x14ac:dyDescent="0.2"/>
  </sheetData>
  <mergeCells count="1">
    <mergeCell ref="B6:F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0113" r:id="rId3" name="Scroll Bar 1">
              <controlPr defaultSize="0" autoPict="0">
                <anchor moveWithCells="1">
                  <from>
                    <xdr:col>4</xdr:col>
                    <xdr:colOff>76200</xdr:colOff>
                    <xdr:row>3</xdr:row>
                    <xdr:rowOff>28575</xdr:rowOff>
                  </from>
                  <to>
                    <xdr:col>4</xdr:col>
                    <xdr:colOff>533400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114" r:id="rId4" name="Scroll Bar 2">
              <controlPr defaultSize="0" autoPict="0">
                <anchor moveWithCells="1">
                  <from>
                    <xdr:col>4</xdr:col>
                    <xdr:colOff>76200</xdr:colOff>
                    <xdr:row>2</xdr:row>
                    <xdr:rowOff>28575</xdr:rowOff>
                  </from>
                  <to>
                    <xdr:col>4</xdr:col>
                    <xdr:colOff>533400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115" r:id="rId5" name="Scroll Bar 3">
              <controlPr defaultSize="0" autoPict="0">
                <anchor moveWithCells="1">
                  <from>
                    <xdr:col>4</xdr:col>
                    <xdr:colOff>76200</xdr:colOff>
                    <xdr:row>4</xdr:row>
                    <xdr:rowOff>28575</xdr:rowOff>
                  </from>
                  <to>
                    <xdr:col>4</xdr:col>
                    <xdr:colOff>533400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3"/>
  <sheetViews>
    <sheetView showGridLines="0" workbookViewId="0">
      <selection activeCell="B6" sqref="B6:F8"/>
    </sheetView>
  </sheetViews>
  <sheetFormatPr defaultRowHeight="15" x14ac:dyDescent="0.2"/>
  <cols>
    <col min="1" max="1" width="5.85546875" style="18" customWidth="1"/>
    <col min="2" max="2" width="6.5703125" style="18" customWidth="1"/>
    <col min="3" max="3" width="8" style="18" customWidth="1"/>
    <col min="4" max="4" width="16.85546875" style="18" customWidth="1"/>
    <col min="5" max="5" width="9.140625" style="18"/>
    <col min="6" max="6" width="13.28515625" style="18" customWidth="1"/>
    <col min="7" max="7" width="5.85546875" style="18" customWidth="1"/>
    <col min="8" max="16384" width="9.140625" style="18"/>
  </cols>
  <sheetData>
    <row r="1" spans="2:7" ht="19.5" customHeight="1" x14ac:dyDescent="0.2"/>
    <row r="2" spans="2:7" ht="18.75" x14ac:dyDescent="0.2">
      <c r="B2" s="55" t="s">
        <v>12</v>
      </c>
    </row>
    <row r="3" spans="2:7" ht="17.25" customHeight="1" x14ac:dyDescent="0.2">
      <c r="B3" s="34" t="s">
        <v>79</v>
      </c>
      <c r="C3" s="35"/>
      <c r="D3" s="35"/>
      <c r="E3" s="35"/>
      <c r="F3" s="97">
        <f>G3*1000000</f>
        <v>250000000</v>
      </c>
      <c r="G3" s="26">
        <v>250</v>
      </c>
    </row>
    <row r="4" spans="2:7" ht="17.25" customHeight="1" x14ac:dyDescent="0.2">
      <c r="B4" s="34" t="s">
        <v>80</v>
      </c>
      <c r="C4" s="35"/>
      <c r="D4" s="35"/>
      <c r="E4" s="35"/>
      <c r="F4" s="38">
        <f>G4/10000</f>
        <v>0.1</v>
      </c>
      <c r="G4" s="26">
        <v>1000</v>
      </c>
    </row>
    <row r="5" spans="2:7" ht="17.25" customHeight="1" x14ac:dyDescent="0.2">
      <c r="B5" s="39" t="s">
        <v>81</v>
      </c>
      <c r="C5" s="40"/>
      <c r="D5" s="40"/>
      <c r="E5" s="40"/>
      <c r="F5" s="128">
        <f>G5*1000</f>
        <v>1250000</v>
      </c>
      <c r="G5" s="26">
        <v>1250</v>
      </c>
    </row>
    <row r="6" spans="2:7" ht="17.25" customHeight="1" x14ac:dyDescent="0.2">
      <c r="B6" s="156" t="str">
        <f>"Harga saham dengan arus kas masuk per tahun "&amp;TEXT(F3,"#.###")&amp;" dengan tingkat imbal hasil saham "&amp;TEXT(F4,"#,00%")&amp;" dan jumlah saham yang beredar "&amp;TEXT(F5,"#.###")&amp;" lembar adalah "&amp;TEXT((F3/F4/F5),"Rp #.###")</f>
        <v>Harga saham dengan arus kas masuk per tahun 250.000.000 dengan tingkat imbal hasil saham 10,00% dan jumlah saham yang beredar 1.250.000 lembar adalah Rp 2.000</v>
      </c>
      <c r="C6" s="156"/>
      <c r="D6" s="156"/>
      <c r="E6" s="156"/>
      <c r="F6" s="156"/>
    </row>
    <row r="7" spans="2:7" ht="17.25" customHeight="1" x14ac:dyDescent="0.2">
      <c r="B7" s="156"/>
      <c r="C7" s="156"/>
      <c r="D7" s="156"/>
      <c r="E7" s="156"/>
      <c r="F7" s="156"/>
    </row>
    <row r="8" spans="2:7" ht="17.25" customHeight="1" x14ac:dyDescent="0.2">
      <c r="B8" s="156"/>
      <c r="C8" s="156"/>
      <c r="D8" s="156"/>
      <c r="E8" s="156"/>
      <c r="F8" s="156"/>
    </row>
    <row r="9" spans="2:7" x14ac:dyDescent="0.2">
      <c r="F9" s="89"/>
    </row>
    <row r="10" spans="2:7" x14ac:dyDescent="0.2">
      <c r="B10" s="56" t="s">
        <v>109</v>
      </c>
      <c r="C10" s="76"/>
      <c r="D10" s="76"/>
    </row>
    <row r="11" spans="2:7" x14ac:dyDescent="0.2">
      <c r="B11" s="53" t="s">
        <v>18</v>
      </c>
      <c r="C11" s="18" t="str">
        <f>"("&amp;TEXT(F3,"#.###")&amp;" / "&amp;TEXT(F4,"#,00%")&amp;") / "&amp;TEXT(F5,"#.###")</f>
        <v>(250.000.000 / 10,00%) / 1.250.000</v>
      </c>
    </row>
    <row r="12" spans="2:7" x14ac:dyDescent="0.2">
      <c r="B12" s="53" t="s">
        <v>18</v>
      </c>
      <c r="C12" s="94">
        <f>(F3/F4/F5)</f>
        <v>2000</v>
      </c>
      <c r="D12" s="98"/>
    </row>
    <row r="13" spans="2:7" ht="19.5" customHeight="1" x14ac:dyDescent="0.2"/>
  </sheetData>
  <mergeCells count="1">
    <mergeCell ref="B6:F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9089" r:id="rId3" name="Scroll Bar 1">
              <controlPr defaultSize="0" autoPict="0">
                <anchor moveWithCells="1">
                  <from>
                    <xdr:col>4</xdr:col>
                    <xdr:colOff>85725</xdr:colOff>
                    <xdr:row>2</xdr:row>
                    <xdr:rowOff>28575</xdr:rowOff>
                  </from>
                  <to>
                    <xdr:col>4</xdr:col>
                    <xdr:colOff>542925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0" r:id="rId4" name="Scroll Bar 2">
              <controlPr defaultSize="0" autoPict="0">
                <anchor moveWithCells="1">
                  <from>
                    <xdr:col>4</xdr:col>
                    <xdr:colOff>85725</xdr:colOff>
                    <xdr:row>4</xdr:row>
                    <xdr:rowOff>28575</xdr:rowOff>
                  </from>
                  <to>
                    <xdr:col>4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1" r:id="rId5" name="Scroll Bar 3">
              <controlPr defaultSize="0" autoPict="0">
                <anchor moveWithCells="1">
                  <from>
                    <xdr:col>4</xdr:col>
                    <xdr:colOff>85725</xdr:colOff>
                    <xdr:row>3</xdr:row>
                    <xdr:rowOff>28575</xdr:rowOff>
                  </from>
                  <to>
                    <xdr:col>4</xdr:col>
                    <xdr:colOff>542925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F14"/>
  <sheetViews>
    <sheetView showGridLines="0" workbookViewId="0">
      <selection activeCell="B6" sqref="B6:F8"/>
    </sheetView>
  </sheetViews>
  <sheetFormatPr defaultRowHeight="17.25" customHeight="1" x14ac:dyDescent="0.2"/>
  <cols>
    <col min="1" max="1" width="5.5703125" style="1" customWidth="1"/>
    <col min="2" max="2" width="5.85546875" style="1" customWidth="1"/>
    <col min="3" max="3" width="7.28515625" style="1" customWidth="1"/>
    <col min="4" max="4" width="24.5703125" style="1" customWidth="1"/>
    <col min="5" max="5" width="10.42578125" style="1" customWidth="1"/>
    <col min="6" max="6" width="9.28515625" style="1" customWidth="1"/>
    <col min="7" max="7" width="5.5703125" style="1" customWidth="1"/>
    <col min="8" max="16384" width="9.140625" style="1"/>
  </cols>
  <sheetData>
    <row r="2" spans="2:6" ht="17.25" customHeight="1" x14ac:dyDescent="0.2">
      <c r="B2" s="8" t="s">
        <v>4</v>
      </c>
    </row>
    <row r="3" spans="2:6" ht="17.25" customHeight="1" x14ac:dyDescent="0.2">
      <c r="B3" s="90" t="s">
        <v>5</v>
      </c>
      <c r="C3" s="66"/>
      <c r="D3" s="66"/>
      <c r="E3" s="66"/>
      <c r="F3" s="99">
        <v>2500</v>
      </c>
    </row>
    <row r="4" spans="2:6" ht="17.25" customHeight="1" x14ac:dyDescent="0.2">
      <c r="B4" s="90" t="s">
        <v>6</v>
      </c>
      <c r="C4" s="66"/>
      <c r="D4" s="66"/>
      <c r="E4" s="66"/>
      <c r="F4" s="99">
        <v>5</v>
      </c>
    </row>
    <row r="5" spans="2:6" ht="17.25" customHeight="1" x14ac:dyDescent="0.2">
      <c r="B5" s="105" t="s">
        <v>7</v>
      </c>
      <c r="C5" s="68"/>
      <c r="D5" s="68"/>
      <c r="E5" s="68"/>
      <c r="F5" s="104">
        <v>3000</v>
      </c>
    </row>
    <row r="6" spans="2:6" ht="20.25" customHeight="1" x14ac:dyDescent="0.2">
      <c r="B6" s="158" t="str">
        <f>"Harga pembukaan saham setelah stock split dengan nilai nominal saham "&amp;TEXT(F3,"Rp #.###")&amp;", rasio 1 saham lama menjadi "&amp;F4&amp;" saham baru dan harga saham dalam perdagangan terakhir Rp "&amp;TEXT(F5,"#.###")&amp;" adalah Rp "&amp;TEXT((F3/F4)/F3*F5,"#.###")</f>
        <v>Harga pembukaan saham setelah stock split dengan nilai nominal saham Rp 2.500, rasio 1 saham lama menjadi 5 saham baru dan harga saham dalam perdagangan terakhir Rp 3.000 adalah Rp 600</v>
      </c>
      <c r="C6" s="158"/>
      <c r="D6" s="158"/>
      <c r="E6" s="158"/>
      <c r="F6" s="158"/>
    </row>
    <row r="7" spans="2:6" ht="20.25" customHeight="1" x14ac:dyDescent="0.2">
      <c r="B7" s="158"/>
      <c r="C7" s="158"/>
      <c r="D7" s="158"/>
      <c r="E7" s="158"/>
      <c r="F7" s="158"/>
    </row>
    <row r="8" spans="2:6" ht="20.25" customHeight="1" x14ac:dyDescent="0.2">
      <c r="B8" s="158"/>
      <c r="C8" s="158"/>
      <c r="D8" s="158"/>
      <c r="E8" s="158"/>
      <c r="F8" s="158"/>
    </row>
    <row r="9" spans="2:6" ht="17.25" customHeight="1" x14ac:dyDescent="0.2">
      <c r="E9" s="9"/>
      <c r="F9" s="93"/>
    </row>
    <row r="10" spans="2:6" ht="17.25" customHeight="1" x14ac:dyDescent="0.2">
      <c r="B10" s="7" t="s">
        <v>25</v>
      </c>
    </row>
    <row r="11" spans="2:6" ht="17.25" customHeight="1" x14ac:dyDescent="0.2">
      <c r="B11" s="60" t="s">
        <v>18</v>
      </c>
      <c r="C11" s="1" t="str">
        <f>"(Nominal Saham / Rasio) / Nominal Saham x Harga Terakhir"</f>
        <v>(Nominal Saham / Rasio) / Nominal Saham x Harga Terakhir</v>
      </c>
    </row>
    <row r="12" spans="2:6" ht="17.25" customHeight="1" x14ac:dyDescent="0.2">
      <c r="B12" s="60" t="s">
        <v>18</v>
      </c>
      <c r="C12" s="1" t="str">
        <f>"("&amp;TEXT(F3,"#.#00")&amp;" / "&amp;TEXT(F4,"#")&amp;") / "&amp;TEXT(F3,"#.#00")&amp;" x "&amp;TEXT(F5,"#.#00")</f>
        <v>(2.500 / 5) / 2.500 x 3.000</v>
      </c>
    </row>
    <row r="13" spans="2:6" ht="17.25" customHeight="1" x14ac:dyDescent="0.2">
      <c r="B13" s="60" t="s">
        <v>18</v>
      </c>
      <c r="C13" s="61">
        <f>(F3/F4)/F3*F5</f>
        <v>600</v>
      </c>
      <c r="D13" s="64"/>
    </row>
    <row r="14" spans="2:6" ht="19.5" customHeight="1" x14ac:dyDescent="0.2">
      <c r="B14" s="157"/>
      <c r="C14" s="157"/>
      <c r="D14" s="157"/>
    </row>
  </sheetData>
  <mergeCells count="2">
    <mergeCell ref="B14:D14"/>
    <mergeCell ref="B6:F8"/>
  </mergeCells>
  <phoneticPr fontId="6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3" name="Scroll Bar 4">
              <controlPr defaultSize="0" autoPict="0">
                <anchor moveWithCells="1">
                  <from>
                    <xdr:col>4</xdr:col>
                    <xdr:colOff>85725</xdr:colOff>
                    <xdr:row>2</xdr:row>
                    <xdr:rowOff>19050</xdr:rowOff>
                  </from>
                  <to>
                    <xdr:col>4</xdr:col>
                    <xdr:colOff>571500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4" name="Scroll Bar 5">
              <controlPr defaultSize="0" autoPict="0">
                <anchor moveWithCells="1">
                  <from>
                    <xdr:col>4</xdr:col>
                    <xdr:colOff>85725</xdr:colOff>
                    <xdr:row>3</xdr:row>
                    <xdr:rowOff>19050</xdr:rowOff>
                  </from>
                  <to>
                    <xdr:col>4</xdr:col>
                    <xdr:colOff>571500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5" name="Scroll Bar 6">
              <controlPr defaultSize="0" autoPict="0">
                <anchor moveWithCells="1">
                  <from>
                    <xdr:col>4</xdr:col>
                    <xdr:colOff>85725</xdr:colOff>
                    <xdr:row>4</xdr:row>
                    <xdr:rowOff>19050</xdr:rowOff>
                  </from>
                  <to>
                    <xdr:col>4</xdr:col>
                    <xdr:colOff>571500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7"/>
  <sheetViews>
    <sheetView showGridLines="0" workbookViewId="0">
      <selection activeCell="B5" sqref="B5:E7"/>
    </sheetView>
  </sheetViews>
  <sheetFormatPr defaultRowHeight="18" customHeight="1" x14ac:dyDescent="0.2"/>
  <cols>
    <col min="1" max="1" width="5.85546875" style="1" customWidth="1"/>
    <col min="2" max="2" width="6" style="1" customWidth="1"/>
    <col min="3" max="3" width="8" style="1" customWidth="1"/>
    <col min="4" max="4" width="41.85546875" style="1" customWidth="1"/>
    <col min="5" max="5" width="8.5703125" style="1" customWidth="1"/>
    <col min="6" max="6" width="3.85546875" style="1" customWidth="1"/>
    <col min="7" max="7" width="5.5703125" style="1" customWidth="1"/>
    <col min="8" max="8" width="35.28515625" style="1" customWidth="1"/>
    <col min="9" max="9" width="5.85546875" style="1" customWidth="1"/>
    <col min="10" max="16384" width="9.140625" style="1"/>
  </cols>
  <sheetData>
    <row r="1" spans="2:8" ht="19.5" customHeight="1" x14ac:dyDescent="0.2"/>
    <row r="2" spans="2:8" ht="18" customHeight="1" x14ac:dyDescent="0.2">
      <c r="B2" s="8" t="s">
        <v>8</v>
      </c>
    </row>
    <row r="3" spans="2:8" ht="16.5" customHeight="1" x14ac:dyDescent="0.2">
      <c r="B3" s="90" t="s">
        <v>110</v>
      </c>
      <c r="C3" s="66"/>
      <c r="D3" s="66"/>
      <c r="E3" s="102">
        <v>5</v>
      </c>
      <c r="F3" s="10"/>
      <c r="G3" s="7" t="s">
        <v>9</v>
      </c>
      <c r="H3" s="10"/>
    </row>
    <row r="4" spans="2:8" ht="16.5" customHeight="1" x14ac:dyDescent="0.2">
      <c r="B4" s="90" t="s">
        <v>111</v>
      </c>
      <c r="C4" s="66"/>
      <c r="D4" s="66"/>
      <c r="E4" s="103">
        <v>7500</v>
      </c>
      <c r="F4" s="10"/>
      <c r="G4" s="100" t="s">
        <v>18</v>
      </c>
      <c r="H4" s="10" t="s">
        <v>26</v>
      </c>
    </row>
    <row r="5" spans="2:8" ht="16.5" customHeight="1" x14ac:dyDescent="0.2">
      <c r="B5" s="160" t="str">
        <f>"Harga teoritis saham dari rasio 1 saham lama menjadi "&amp;E3&amp;" saham baru dengan harga perdagangan per saham sebelum stock split "&amp;TEXT(E4,"Rp #.###")&amp;" adalah "&amp;TEXT((1/E3)*E4,"Rp #.###")</f>
        <v>Harga teoritis saham dari rasio 1 saham lama menjadi 5 saham baru dengan harga perdagangan per saham sebelum stock split Rp 7.500 adalah Rp 1.500</v>
      </c>
      <c r="C5" s="160"/>
      <c r="D5" s="160"/>
      <c r="E5" s="160"/>
      <c r="F5" s="10"/>
      <c r="G5" s="100" t="s">
        <v>18</v>
      </c>
      <c r="H5" s="10" t="str">
        <f>"1 / "&amp;TEXT(E3,"#")</f>
        <v>1 / 5</v>
      </c>
    </row>
    <row r="6" spans="2:8" ht="15.75" customHeight="1" x14ac:dyDescent="0.2">
      <c r="B6" s="161"/>
      <c r="C6" s="161"/>
      <c r="D6" s="161"/>
      <c r="E6" s="161"/>
      <c r="F6" s="10"/>
      <c r="G6" s="100" t="s">
        <v>18</v>
      </c>
      <c r="H6" s="11">
        <f>1/E3</f>
        <v>0.2</v>
      </c>
    </row>
    <row r="7" spans="2:8" ht="15.75" customHeight="1" x14ac:dyDescent="0.2">
      <c r="B7" s="161"/>
      <c r="C7" s="161"/>
      <c r="D7" s="161"/>
      <c r="E7" s="161"/>
      <c r="F7" s="10"/>
      <c r="G7" s="10"/>
      <c r="H7" s="10"/>
    </row>
    <row r="8" spans="2:8" ht="15.75" customHeight="1" x14ac:dyDescent="0.2">
      <c r="E8" s="93"/>
      <c r="F8" s="10"/>
      <c r="G8" s="7" t="s">
        <v>27</v>
      </c>
      <c r="H8" s="10"/>
    </row>
    <row r="9" spans="2:8" ht="15.75" customHeight="1" x14ac:dyDescent="0.2">
      <c r="E9" s="10"/>
      <c r="F9" s="10"/>
      <c r="G9" s="100" t="s">
        <v>18</v>
      </c>
      <c r="H9" s="10" t="s">
        <v>10</v>
      </c>
    </row>
    <row r="10" spans="2:8" ht="15.75" customHeight="1" x14ac:dyDescent="0.2">
      <c r="E10" s="10"/>
      <c r="F10" s="10"/>
      <c r="G10" s="100" t="s">
        <v>18</v>
      </c>
      <c r="H10" s="10" t="str">
        <f>TEXT(H6,"0,#0")&amp;" x "&amp;TEXT(E4,"#.#00")</f>
        <v>0,20 x 7.500</v>
      </c>
    </row>
    <row r="11" spans="2:8" ht="15.75" customHeight="1" x14ac:dyDescent="0.2">
      <c r="E11" s="10"/>
      <c r="F11" s="10"/>
      <c r="G11" s="100" t="s">
        <v>18</v>
      </c>
      <c r="H11" s="101">
        <f>H6*E4</f>
        <v>1500</v>
      </c>
    </row>
    <row r="12" spans="2:8" ht="19.5" customHeight="1" x14ac:dyDescent="0.2">
      <c r="B12" s="10"/>
      <c r="C12" s="10"/>
      <c r="D12" s="10"/>
      <c r="E12" s="10"/>
      <c r="F12" s="10"/>
    </row>
    <row r="13" spans="2:8" ht="18" customHeight="1" x14ac:dyDescent="0.2">
      <c r="B13" s="10"/>
      <c r="C13" s="10"/>
      <c r="D13" s="10"/>
      <c r="E13" s="10"/>
      <c r="F13" s="10"/>
    </row>
    <row r="14" spans="2:8" ht="18" customHeight="1" x14ac:dyDescent="0.2">
      <c r="B14" s="10"/>
      <c r="C14" s="10"/>
      <c r="D14" s="159"/>
      <c r="E14" s="159"/>
      <c r="F14" s="13"/>
    </row>
    <row r="15" spans="2:8" ht="18" customHeight="1" x14ac:dyDescent="0.2">
      <c r="B15" s="10"/>
      <c r="C15" s="10"/>
      <c r="D15" s="10"/>
      <c r="E15" s="10"/>
      <c r="F15" s="10"/>
    </row>
    <row r="16" spans="2:8" ht="18" customHeight="1" x14ac:dyDescent="0.2">
      <c r="B16" s="10"/>
      <c r="C16" s="10"/>
      <c r="D16" s="10"/>
      <c r="E16" s="12"/>
      <c r="F16" s="10"/>
    </row>
    <row r="17" spans="2:11" ht="18" customHeight="1" x14ac:dyDescent="0.2">
      <c r="B17" s="10"/>
      <c r="C17" s="10"/>
      <c r="D17" s="10"/>
      <c r="E17" s="10"/>
      <c r="F17" s="10"/>
      <c r="K17" s="1" t="s">
        <v>118</v>
      </c>
    </row>
  </sheetData>
  <mergeCells count="2">
    <mergeCell ref="D14:E14"/>
    <mergeCell ref="B5:E7"/>
  </mergeCells>
  <phoneticPr fontId="6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4" name="Scroll Bar 4">
              <controlPr defaultSize="0" autoPict="0">
                <anchor moveWithCells="1">
                  <from>
                    <xdr:col>3</xdr:col>
                    <xdr:colOff>2228850</xdr:colOff>
                    <xdr:row>2</xdr:row>
                    <xdr:rowOff>19050</xdr:rowOff>
                  </from>
                  <to>
                    <xdr:col>3</xdr:col>
                    <xdr:colOff>2714625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5" name="Scroll Bar 5">
              <controlPr defaultSize="0" autoPict="0">
                <anchor moveWithCells="1">
                  <from>
                    <xdr:col>3</xdr:col>
                    <xdr:colOff>2228850</xdr:colOff>
                    <xdr:row>3</xdr:row>
                    <xdr:rowOff>9525</xdr:rowOff>
                  </from>
                  <to>
                    <xdr:col>3</xdr:col>
                    <xdr:colOff>2714625</xdr:colOff>
                    <xdr:row>3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14"/>
  <sheetViews>
    <sheetView showGridLines="0" workbookViewId="0">
      <selection activeCell="B6" sqref="B6:G9"/>
    </sheetView>
  </sheetViews>
  <sheetFormatPr defaultRowHeight="15" x14ac:dyDescent="0.2"/>
  <cols>
    <col min="1" max="1" width="5.85546875" style="18" customWidth="1"/>
    <col min="2" max="3" width="9.140625" style="18" customWidth="1"/>
    <col min="4" max="4" width="9.140625" style="18"/>
    <col min="5" max="5" width="9.85546875" style="18" customWidth="1"/>
    <col min="6" max="6" width="10.140625" style="18" customWidth="1"/>
    <col min="7" max="7" width="9.28515625" style="18" customWidth="1"/>
    <col min="8" max="8" width="3.28515625" style="18" customWidth="1"/>
    <col min="9" max="9" width="8.42578125" style="18" customWidth="1"/>
    <col min="10" max="10" width="18.7109375" style="18" customWidth="1"/>
    <col min="11" max="11" width="9" style="18" customWidth="1"/>
    <col min="12" max="12" width="16" style="18" customWidth="1"/>
    <col min="13" max="13" width="5.85546875" style="18" customWidth="1"/>
    <col min="14" max="16384" width="9.140625" style="18"/>
  </cols>
  <sheetData>
    <row r="1" spans="2:12" ht="19.5" customHeight="1" x14ac:dyDescent="0.2"/>
    <row r="2" spans="2:12" ht="18.75" x14ac:dyDescent="0.2">
      <c r="B2" s="55" t="s">
        <v>108</v>
      </c>
    </row>
    <row r="3" spans="2:12" ht="17.25" customHeight="1" x14ac:dyDescent="0.2">
      <c r="B3" s="34" t="s">
        <v>114</v>
      </c>
      <c r="C3" s="35"/>
      <c r="D3" s="35"/>
      <c r="E3" s="35"/>
      <c r="F3" s="35"/>
      <c r="G3" s="77">
        <v>240</v>
      </c>
      <c r="I3" s="57" t="s">
        <v>87</v>
      </c>
    </row>
    <row r="4" spans="2:12" ht="17.25" customHeight="1" x14ac:dyDescent="0.2">
      <c r="B4" s="34" t="s">
        <v>115</v>
      </c>
      <c r="C4" s="35"/>
      <c r="D4" s="35"/>
      <c r="E4" s="35"/>
      <c r="F4" s="35"/>
      <c r="G4" s="38">
        <f>H4/10000</f>
        <v>0.06</v>
      </c>
      <c r="H4" s="26">
        <v>600</v>
      </c>
      <c r="I4" s="162" t="s">
        <v>88</v>
      </c>
      <c r="J4" s="82" t="str">
        <f>B3</f>
        <v>Perkiraan dividen tahun depan</v>
      </c>
      <c r="K4" s="82"/>
      <c r="L4" s="163" t="s">
        <v>89</v>
      </c>
    </row>
    <row r="5" spans="2:12" ht="17.25" customHeight="1" x14ac:dyDescent="0.2">
      <c r="B5" s="34" t="s">
        <v>11</v>
      </c>
      <c r="C5" s="35"/>
      <c r="D5" s="35"/>
      <c r="E5" s="35"/>
      <c r="F5" s="35"/>
      <c r="G5" s="77">
        <v>2500</v>
      </c>
      <c r="I5" s="162"/>
      <c r="J5" s="164" t="str">
        <f>B5</f>
        <v>Harga saham saat ini</v>
      </c>
      <c r="K5" s="164"/>
      <c r="L5" s="163"/>
    </row>
    <row r="6" spans="2:12" ht="15" customHeight="1" x14ac:dyDescent="0.2">
      <c r="B6" s="165" t="str">
        <f>"Tingkat pengembalian yang diharapkan investor pada saham dengan perkiraan dividen tahun depan Rp "&amp;TEXT(G3,"#.###")&amp;", estimasi pertumbuhan dividen "&amp;TEXT(G4,"#,00%")&amp;" dan harga saham saat ini "&amp;TEXT(G5,"Rp #.###")&amp;" adalah "&amp;TEXT((G3/G5)+G4,"#,00%")</f>
        <v>Tingkat pengembalian yang diharapkan investor pada saham dengan perkiraan dividen tahun depan Rp 240, estimasi pertumbuhan dividen 6,00% dan harga saham saat ini Rp 2.500 adalah 15,60%</v>
      </c>
      <c r="C6" s="165"/>
      <c r="D6" s="165"/>
      <c r="E6" s="165"/>
      <c r="F6" s="165"/>
      <c r="G6" s="165"/>
      <c r="I6" s="83" t="s">
        <v>88</v>
      </c>
      <c r="J6" s="80" t="str">
        <f>"("&amp;G3&amp;" / "&amp;TEXT(G5,"#.###")&amp;") + "&amp;TEXT(G4,"#,00%")</f>
        <v>(240 / 2.500) + 6,00%</v>
      </c>
      <c r="K6" s="80"/>
      <c r="L6" s="80"/>
    </row>
    <row r="7" spans="2:12" x14ac:dyDescent="0.2">
      <c r="B7" s="166"/>
      <c r="C7" s="166"/>
      <c r="D7" s="166"/>
      <c r="E7" s="166"/>
      <c r="F7" s="166"/>
      <c r="G7" s="166"/>
      <c r="I7" s="83" t="s">
        <v>88</v>
      </c>
      <c r="J7" s="85">
        <f>G3/G5+G4</f>
        <v>0.156</v>
      </c>
      <c r="K7" s="80"/>
      <c r="L7" s="80"/>
    </row>
    <row r="8" spans="2:12" x14ac:dyDescent="0.2">
      <c r="B8" s="166"/>
      <c r="C8" s="166"/>
      <c r="D8" s="166"/>
      <c r="E8" s="166"/>
      <c r="F8" s="166"/>
      <c r="G8" s="166"/>
    </row>
    <row r="9" spans="2:12" x14ac:dyDescent="0.2">
      <c r="B9" s="166"/>
      <c r="C9" s="166"/>
      <c r="D9" s="166"/>
      <c r="E9" s="166"/>
      <c r="F9" s="166"/>
      <c r="G9" s="166"/>
    </row>
    <row r="10" spans="2:12" ht="19.5" customHeight="1" x14ac:dyDescent="0.2"/>
    <row r="14" spans="2:12" ht="19.5" customHeight="1" x14ac:dyDescent="0.2"/>
  </sheetData>
  <mergeCells count="4">
    <mergeCell ref="I4:I5"/>
    <mergeCell ref="L4:L5"/>
    <mergeCell ref="J5:K5"/>
    <mergeCell ref="B6:G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1137" r:id="rId3" name="Scroll Bar 1">
              <controlPr defaultSize="0" autoPict="0">
                <anchor moveWithCells="1">
                  <from>
                    <xdr:col>5</xdr:col>
                    <xdr:colOff>85725</xdr:colOff>
                    <xdr:row>2</xdr:row>
                    <xdr:rowOff>28575</xdr:rowOff>
                  </from>
                  <to>
                    <xdr:col>5</xdr:col>
                    <xdr:colOff>542925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138" r:id="rId4" name="Scroll Bar 2">
              <controlPr defaultSize="0" autoPict="0">
                <anchor moveWithCells="1">
                  <from>
                    <xdr:col>5</xdr:col>
                    <xdr:colOff>85725</xdr:colOff>
                    <xdr:row>3</xdr:row>
                    <xdr:rowOff>28575</xdr:rowOff>
                  </from>
                  <to>
                    <xdr:col>5</xdr:col>
                    <xdr:colOff>542925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139" r:id="rId5" name="Scroll Bar 3">
              <controlPr defaultSize="0" autoPict="0">
                <anchor moveWithCells="1">
                  <from>
                    <xdr:col>5</xdr:col>
                    <xdr:colOff>85725</xdr:colOff>
                    <xdr:row>4</xdr:row>
                    <xdr:rowOff>28575</xdr:rowOff>
                  </from>
                  <to>
                    <xdr:col>5</xdr:col>
                    <xdr:colOff>542925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0"/>
  <sheetViews>
    <sheetView showGridLines="0" workbookViewId="0">
      <selection activeCell="B6" sqref="B6:H8"/>
    </sheetView>
  </sheetViews>
  <sheetFormatPr defaultRowHeight="15" x14ac:dyDescent="0.2"/>
  <cols>
    <col min="1" max="1" width="5.85546875" style="18" customWidth="1"/>
    <col min="2" max="2" width="9.7109375" style="18" customWidth="1"/>
    <col min="3" max="3" width="3.7109375" style="18" customWidth="1"/>
    <col min="4" max="4" width="9.5703125" style="18" customWidth="1"/>
    <col min="5" max="5" width="9.140625" style="18"/>
    <col min="6" max="6" width="6.140625" style="18" customWidth="1"/>
    <col min="7" max="8" width="9.140625" style="18"/>
    <col min="9" max="9" width="3.5703125" style="18" customWidth="1"/>
    <col min="10" max="10" width="7.7109375" style="18" customWidth="1"/>
    <col min="11" max="11" width="6.140625" style="18" customWidth="1"/>
    <col min="12" max="12" width="6.7109375" style="18" customWidth="1"/>
    <col min="13" max="13" width="31.7109375" style="18" customWidth="1"/>
    <col min="14" max="14" width="5.85546875" style="18" customWidth="1"/>
    <col min="15" max="16384" width="9.140625" style="18"/>
  </cols>
  <sheetData>
    <row r="1" spans="2:12" ht="19.5" customHeight="1" x14ac:dyDescent="0.2"/>
    <row r="2" spans="2:12" ht="18.75" x14ac:dyDescent="0.2">
      <c r="B2" s="55" t="s">
        <v>107</v>
      </c>
    </row>
    <row r="3" spans="2:12" ht="17.25" customHeight="1" x14ac:dyDescent="0.2">
      <c r="B3" s="34" t="s">
        <v>90</v>
      </c>
      <c r="C3" s="35"/>
      <c r="D3" s="35"/>
      <c r="E3" s="35"/>
      <c r="F3" s="35"/>
      <c r="G3" s="35"/>
      <c r="H3" s="22">
        <v>80</v>
      </c>
      <c r="J3" s="52" t="s">
        <v>112</v>
      </c>
    </row>
    <row r="4" spans="2:12" ht="17.25" customHeight="1" x14ac:dyDescent="0.2">
      <c r="B4" s="34" t="s">
        <v>91</v>
      </c>
      <c r="C4" s="35"/>
      <c r="D4" s="35"/>
      <c r="E4" s="35"/>
      <c r="F4" s="35"/>
      <c r="G4" s="35"/>
      <c r="H4" s="38">
        <f>I4/10000</f>
        <v>0.08</v>
      </c>
      <c r="I4" s="26">
        <v>800</v>
      </c>
      <c r="J4" s="129" t="s">
        <v>116</v>
      </c>
      <c r="K4" s="18" t="s">
        <v>93</v>
      </c>
    </row>
    <row r="5" spans="2:12" ht="17.25" customHeight="1" x14ac:dyDescent="0.2">
      <c r="B5" s="39" t="s">
        <v>92</v>
      </c>
      <c r="C5" s="40"/>
      <c r="D5" s="40"/>
      <c r="E5" s="40"/>
      <c r="F5" s="40"/>
      <c r="G5" s="40"/>
      <c r="H5" s="25">
        <f>I5/10000</f>
        <v>0.14749999999999999</v>
      </c>
      <c r="I5" s="26">
        <v>1475</v>
      </c>
      <c r="J5" s="129" t="s">
        <v>116</v>
      </c>
      <c r="K5" s="18" t="str">
        <f>TEXT(H3,"#.###")&amp;" x (1 + "&amp;TEXT(H4,"#,00%")&amp;")"</f>
        <v>80 x (1 + 8,00%)</v>
      </c>
    </row>
    <row r="6" spans="2:12" ht="18" customHeight="1" x14ac:dyDescent="0.2">
      <c r="B6" s="165" t="str">
        <f>"Nilai saham dengan dividen yang dibagikan Rp "&amp;H3&amp;", tingkat pertumbuhan dividen "&amp;TEXT(H4,"#,00%")&amp;" dan required rate of return "&amp;TEXT(H5,"#,00%")&amp;" adalah Rp "&amp;TEXT(H3*(1+H4)/(H5-H4),"#.###")</f>
        <v>Nilai saham dengan dividen yang dibagikan Rp 80, tingkat pertumbuhan dividen 8,00% dan required rate of return 14,75% adalah Rp 1.280</v>
      </c>
      <c r="C6" s="165"/>
      <c r="D6" s="165"/>
      <c r="E6" s="165"/>
      <c r="F6" s="165"/>
      <c r="G6" s="165"/>
      <c r="H6" s="165"/>
      <c r="J6" s="129" t="s">
        <v>116</v>
      </c>
      <c r="K6" s="33">
        <f>H3*(1+H4)</f>
        <v>86.4</v>
      </c>
    </row>
    <row r="7" spans="2:12" x14ac:dyDescent="0.2">
      <c r="B7" s="166"/>
      <c r="C7" s="166"/>
      <c r="D7" s="166"/>
      <c r="E7" s="166"/>
      <c r="F7" s="166"/>
      <c r="G7" s="166"/>
      <c r="H7" s="166"/>
    </row>
    <row r="8" spans="2:12" ht="15.75" customHeight="1" x14ac:dyDescent="0.2">
      <c r="B8" s="166"/>
      <c r="C8" s="166"/>
      <c r="D8" s="166"/>
      <c r="E8" s="166"/>
      <c r="F8" s="166"/>
      <c r="G8" s="166"/>
      <c r="H8" s="166"/>
      <c r="J8" s="52" t="s">
        <v>113</v>
      </c>
    </row>
    <row r="9" spans="2:12" ht="18" x14ac:dyDescent="0.2">
      <c r="J9" s="167" t="s">
        <v>117</v>
      </c>
      <c r="K9" s="44" t="s">
        <v>41</v>
      </c>
    </row>
    <row r="10" spans="2:12" x14ac:dyDescent="0.2">
      <c r="J10" s="153"/>
      <c r="K10" s="46" t="s">
        <v>94</v>
      </c>
    </row>
    <row r="11" spans="2:12" x14ac:dyDescent="0.2">
      <c r="H11" s="89"/>
      <c r="J11" s="168" t="s">
        <v>117</v>
      </c>
      <c r="K11" s="170">
        <f>K6</f>
        <v>86.4</v>
      </c>
      <c r="L11" s="170"/>
    </row>
    <row r="12" spans="2:12" x14ac:dyDescent="0.2">
      <c r="J12" s="169"/>
      <c r="K12" s="18" t="str">
        <f>TEXT(H5,"#,00%")&amp;" - "&amp;TEXT(H4,"#,00%")</f>
        <v>14,75% - 8,00%</v>
      </c>
    </row>
    <row r="13" spans="2:12" ht="18" x14ac:dyDescent="0.2">
      <c r="J13" s="129" t="s">
        <v>117</v>
      </c>
      <c r="K13" s="171">
        <f>K6/(H5-H4)</f>
        <v>1280.0000000000002</v>
      </c>
      <c r="L13" s="171"/>
    </row>
    <row r="14" spans="2:12" ht="19.5" customHeight="1" x14ac:dyDescent="0.2"/>
    <row r="20" ht="19.5" customHeight="1" x14ac:dyDescent="0.2"/>
  </sheetData>
  <mergeCells count="5">
    <mergeCell ref="J9:J10"/>
    <mergeCell ref="J11:J12"/>
    <mergeCell ref="K11:L11"/>
    <mergeCell ref="K13:L13"/>
    <mergeCell ref="B6:H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61" r:id="rId3" name="Scroll Bar 1">
              <controlPr defaultSize="0" autoPict="0">
                <anchor moveWithCells="1">
                  <from>
                    <xdr:col>6</xdr:col>
                    <xdr:colOff>95250</xdr:colOff>
                    <xdr:row>2</xdr:row>
                    <xdr:rowOff>28575</xdr:rowOff>
                  </from>
                  <to>
                    <xdr:col>6</xdr:col>
                    <xdr:colOff>552450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62" r:id="rId4" name="Scroll Bar 2">
              <controlPr defaultSize="0" autoPict="0">
                <anchor moveWithCells="1">
                  <from>
                    <xdr:col>6</xdr:col>
                    <xdr:colOff>95250</xdr:colOff>
                    <xdr:row>3</xdr:row>
                    <xdr:rowOff>28575</xdr:rowOff>
                  </from>
                  <to>
                    <xdr:col>6</xdr:col>
                    <xdr:colOff>552450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63" r:id="rId5" name="Scroll Bar 3">
              <controlPr defaultSize="0" autoPict="0">
                <anchor moveWithCells="1">
                  <from>
                    <xdr:col>6</xdr:col>
                    <xdr:colOff>95250</xdr:colOff>
                    <xdr:row>4</xdr:row>
                    <xdr:rowOff>28575</xdr:rowOff>
                  </from>
                  <to>
                    <xdr:col>6</xdr:col>
                    <xdr:colOff>552450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21"/>
  <sheetViews>
    <sheetView showGridLines="0" tabSelected="1" workbookViewId="0">
      <selection activeCell="H5" sqref="H5:H7"/>
    </sheetView>
  </sheetViews>
  <sheetFormatPr defaultRowHeight="18" customHeight="1" x14ac:dyDescent="0.2"/>
  <cols>
    <col min="1" max="1" width="5.85546875" style="1" customWidth="1"/>
    <col min="2" max="2" width="9.140625" style="1" customWidth="1"/>
    <col min="3" max="3" width="12.140625" style="1" customWidth="1"/>
    <col min="4" max="4" width="17" style="1" customWidth="1"/>
    <col min="5" max="5" width="9.5703125" style="1" customWidth="1"/>
    <col min="6" max="6" width="11.5703125" style="1" bestFit="1" customWidth="1"/>
    <col min="7" max="7" width="3.42578125" style="1" customWidth="1"/>
    <col min="8" max="8" width="47.85546875" style="1" customWidth="1"/>
    <col min="9" max="9" width="5.85546875" style="1" customWidth="1"/>
    <col min="10" max="10" width="9.140625" style="1"/>
    <col min="11" max="11" width="13.85546875" style="1" customWidth="1"/>
    <col min="12" max="16384" width="9.140625" style="1"/>
  </cols>
  <sheetData>
    <row r="1" spans="2:11" ht="19.5" customHeight="1" x14ac:dyDescent="0.2"/>
    <row r="2" spans="2:11" ht="18" customHeight="1" x14ac:dyDescent="0.2">
      <c r="B2" s="8" t="s">
        <v>3</v>
      </c>
    </row>
    <row r="3" spans="2:11" ht="16.5" customHeight="1" x14ac:dyDescent="0.2">
      <c r="B3" s="65" t="s">
        <v>16</v>
      </c>
      <c r="C3" s="66"/>
      <c r="D3" s="66"/>
      <c r="E3" s="66"/>
      <c r="F3" s="70">
        <v>100</v>
      </c>
    </row>
    <row r="4" spans="2:11" ht="16.5" customHeight="1" x14ac:dyDescent="0.2">
      <c r="B4" s="65" t="s">
        <v>0</v>
      </c>
      <c r="C4" s="66"/>
      <c r="D4" s="66"/>
      <c r="E4" s="66"/>
      <c r="F4" s="70">
        <v>3000</v>
      </c>
    </row>
    <row r="5" spans="2:11" ht="16.5" customHeight="1" x14ac:dyDescent="0.2">
      <c r="B5" s="65" t="s">
        <v>1</v>
      </c>
      <c r="C5" s="66"/>
      <c r="D5" s="66"/>
      <c r="E5" s="66"/>
      <c r="F5" s="71">
        <f>G5/10000</f>
        <v>3.0000000000000001E-3</v>
      </c>
      <c r="G5" s="2">
        <v>30</v>
      </c>
      <c r="H5" s="132" t="str">
        <f>"Nilai penjualan "&amp;F3&amp;" lot saham dengan harga jual per lembar Rp "&amp;TEXT(F4,"#.###")&amp;", komisi penjualan "&amp;TEXT(F5,"0,#0%")&amp;", tarif PPN "&amp;TEXT(F6,"#%")&amp;" dan tarif PPh "&amp;TEXT(F7,"0,00%")&amp;" sebesar Rp "&amp;TEXT(F3*100*F4-((F3*100*F4*F5)*(1+F6))-(F3*100*F4*F7),"#.###")</f>
        <v>Nilai penjualan 100 lot saham dengan harga jual per lembar Rp 3.000, komisi penjualan 0,30%, tarif PPN 10% dan tarif PPh 0,10% sebesar Rp 29.871.000</v>
      </c>
    </row>
    <row r="6" spans="2:11" ht="16.5" customHeight="1" x14ac:dyDescent="0.2">
      <c r="B6" s="65" t="s">
        <v>20</v>
      </c>
      <c r="C6" s="66"/>
      <c r="D6" s="66"/>
      <c r="E6" s="66"/>
      <c r="F6" s="111">
        <f>G6/100</f>
        <v>0.1</v>
      </c>
      <c r="G6" s="2">
        <v>10</v>
      </c>
      <c r="H6" s="132"/>
    </row>
    <row r="7" spans="2:11" ht="16.5" customHeight="1" x14ac:dyDescent="0.2">
      <c r="B7" s="65" t="s">
        <v>21</v>
      </c>
      <c r="C7" s="66"/>
      <c r="D7" s="66"/>
      <c r="E7" s="66"/>
      <c r="F7" s="72">
        <f>G7/10000</f>
        <v>1E-3</v>
      </c>
      <c r="G7" s="2">
        <v>10</v>
      </c>
      <c r="H7" s="132"/>
    </row>
    <row r="9" spans="2:11" ht="15.75" customHeight="1" x14ac:dyDescent="0.2">
      <c r="B9" s="73" t="s">
        <v>22</v>
      </c>
      <c r="C9" s="16"/>
      <c r="F9" s="59" t="s">
        <v>36</v>
      </c>
      <c r="K9" s="15"/>
    </row>
    <row r="10" spans="2:11" ht="15.75" customHeight="1" x14ac:dyDescent="0.2">
      <c r="B10" s="60" t="s">
        <v>18</v>
      </c>
      <c r="C10" s="1" t="s">
        <v>19</v>
      </c>
      <c r="F10" s="60" t="s">
        <v>18</v>
      </c>
      <c r="G10" s="1" t="s">
        <v>23</v>
      </c>
    </row>
    <row r="11" spans="2:11" ht="15.75" customHeight="1" x14ac:dyDescent="0.2">
      <c r="B11" s="60" t="s">
        <v>18</v>
      </c>
      <c r="C11" s="1" t="str">
        <f>TEXT(F3,"#")&amp;" x 100 x "&amp;TEXT(F4,"#.#00")</f>
        <v>100 x 100 x 3.000</v>
      </c>
      <c r="F11" s="60" t="s">
        <v>18</v>
      </c>
      <c r="G11" s="5" t="str">
        <f>TEXT(F7*100,"0,00")&amp;"% x "&amp;TEXT(C12,"#.#00")</f>
        <v>0,10% x 30.000.000</v>
      </c>
    </row>
    <row r="12" spans="2:11" ht="15.75" customHeight="1" x14ac:dyDescent="0.2">
      <c r="B12" s="60" t="s">
        <v>18</v>
      </c>
      <c r="C12" s="61">
        <f>F3*100*F4</f>
        <v>30000000</v>
      </c>
      <c r="D12" s="74"/>
      <c r="F12" s="60" t="s">
        <v>18</v>
      </c>
      <c r="G12" s="130">
        <f>F7*C12</f>
        <v>30000</v>
      </c>
      <c r="H12" s="130"/>
    </row>
    <row r="13" spans="2:11" ht="15.75" customHeight="1" x14ac:dyDescent="0.2">
      <c r="B13" s="3"/>
      <c r="C13" s="4"/>
      <c r="D13" s="4"/>
    </row>
    <row r="14" spans="2:11" ht="15.75" customHeight="1" x14ac:dyDescent="0.2">
      <c r="B14" s="73" t="s">
        <v>34</v>
      </c>
      <c r="C14" s="4"/>
      <c r="D14" s="4"/>
      <c r="F14" s="59" t="s">
        <v>35</v>
      </c>
    </row>
    <row r="15" spans="2:11" ht="15.75" customHeight="1" x14ac:dyDescent="0.2">
      <c r="B15" s="60" t="s">
        <v>18</v>
      </c>
      <c r="C15" s="4" t="s">
        <v>29</v>
      </c>
      <c r="D15" s="4"/>
      <c r="F15" s="60" t="s">
        <v>18</v>
      </c>
      <c r="G15" s="1" t="s">
        <v>30</v>
      </c>
    </row>
    <row r="16" spans="2:11" ht="15.75" customHeight="1" x14ac:dyDescent="0.2">
      <c r="B16" s="60" t="s">
        <v>18</v>
      </c>
      <c r="C16" s="4" t="str">
        <f>"("&amp;TEXT(F5*100,"0,00")&amp;"% x "&amp;TEXT(C12,"#.#00")&amp;") x (1 + "&amp;TEXT(F6*100,"#")&amp;"%)"</f>
        <v>(0,30% x 30.000.000) x (1 + 10%)</v>
      </c>
      <c r="D16" s="4"/>
      <c r="F16" s="60" t="s">
        <v>18</v>
      </c>
      <c r="G16" s="1" t="str">
        <f>TEXT(C12,"#.#00")&amp;" - "&amp;TEXT(C18,"#.#00")&amp;" - "&amp;TEXT(G12,"#.#00")</f>
        <v>30.000.000 - 99.000 - 30.000</v>
      </c>
    </row>
    <row r="17" spans="2:10" ht="15.75" customHeight="1" x14ac:dyDescent="0.2">
      <c r="B17" s="60" t="s">
        <v>18</v>
      </c>
      <c r="C17" s="4" t="str">
        <f>(TEXT(F5*C12,"#.#00")&amp;" x "&amp;TEXT(100+F6*100,"#")&amp;"%")</f>
        <v>90.000 x 110%</v>
      </c>
      <c r="D17" s="4"/>
      <c r="F17" s="60" t="s">
        <v>18</v>
      </c>
      <c r="G17" s="130">
        <f>C12-C18-G12</f>
        <v>29871000</v>
      </c>
      <c r="H17" s="130"/>
      <c r="J17" s="15"/>
    </row>
    <row r="18" spans="2:10" ht="15.75" customHeight="1" x14ac:dyDescent="0.2">
      <c r="B18" s="60" t="s">
        <v>18</v>
      </c>
      <c r="C18" s="61">
        <f>(F5*C12)*(1+F6)</f>
        <v>99000.000000000015</v>
      </c>
      <c r="D18" s="74"/>
    </row>
    <row r="19" spans="2:10" ht="19.5" customHeight="1" x14ac:dyDescent="0.2"/>
    <row r="20" spans="2:10" ht="18" customHeight="1" x14ac:dyDescent="0.2">
      <c r="D20" s="15"/>
    </row>
    <row r="21" spans="2:10" ht="19.5" customHeight="1" x14ac:dyDescent="0.2"/>
  </sheetData>
  <mergeCells count="3">
    <mergeCell ref="G12:H12"/>
    <mergeCell ref="G17:H17"/>
    <mergeCell ref="H5:H7"/>
  </mergeCells>
  <pageMargins left="0.75" right="0.75" top="1" bottom="1" header="0.5" footer="0.5"/>
  <pageSetup paperSize="9" orientation="portrait" horizontalDpi="4294967293" verticalDpi="0" r:id="rId1"/>
  <headerFooter alignWithMargins="0"/>
  <ignoredErrors>
    <ignoredError sqref="F6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4" name="Scroll Bar 1">
              <controlPr defaultSize="0" autoPict="0">
                <anchor moveWithCells="1">
                  <from>
                    <xdr:col>4</xdr:col>
                    <xdr:colOff>76200</xdr:colOff>
                    <xdr:row>2</xdr:row>
                    <xdr:rowOff>28575</xdr:rowOff>
                  </from>
                  <to>
                    <xdr:col>4</xdr:col>
                    <xdr:colOff>561975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Scroll Bar 2">
              <controlPr defaultSize="0" autoPict="0">
                <anchor moveWithCells="1">
                  <from>
                    <xdr:col>4</xdr:col>
                    <xdr:colOff>76200</xdr:colOff>
                    <xdr:row>3</xdr:row>
                    <xdr:rowOff>28575</xdr:rowOff>
                  </from>
                  <to>
                    <xdr:col>4</xdr:col>
                    <xdr:colOff>561975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6" name="Scroll Bar 3">
              <controlPr defaultSize="0" autoPict="0">
                <anchor moveWithCells="1">
                  <from>
                    <xdr:col>4</xdr:col>
                    <xdr:colOff>76200</xdr:colOff>
                    <xdr:row>4</xdr:row>
                    <xdr:rowOff>28575</xdr:rowOff>
                  </from>
                  <to>
                    <xdr:col>4</xdr:col>
                    <xdr:colOff>561975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7" name="Scroll Bar 4">
              <controlPr defaultSize="0" autoPict="0">
                <anchor moveWithCells="1">
                  <from>
                    <xdr:col>4</xdr:col>
                    <xdr:colOff>76200</xdr:colOff>
                    <xdr:row>5</xdr:row>
                    <xdr:rowOff>28575</xdr:rowOff>
                  </from>
                  <to>
                    <xdr:col>4</xdr:col>
                    <xdr:colOff>561975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8" name="Scroll Bar 5">
              <controlPr defaultSize="0" autoPict="0">
                <anchor moveWithCells="1">
                  <from>
                    <xdr:col>4</xdr:col>
                    <xdr:colOff>76200</xdr:colOff>
                    <xdr:row>6</xdr:row>
                    <xdr:rowOff>28575</xdr:rowOff>
                  </from>
                  <to>
                    <xdr:col>4</xdr:col>
                    <xdr:colOff>561975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7"/>
  <sheetViews>
    <sheetView showGridLines="0" workbookViewId="0">
      <selection activeCell="B6" sqref="B6:G6"/>
    </sheetView>
  </sheetViews>
  <sheetFormatPr defaultRowHeight="15" x14ac:dyDescent="0.2"/>
  <cols>
    <col min="1" max="1" width="5.85546875" style="18" customWidth="1"/>
    <col min="2" max="7" width="9.140625" style="18"/>
    <col min="8" max="8" width="5.85546875" style="18" customWidth="1"/>
    <col min="9" max="16384" width="9.140625" style="18"/>
  </cols>
  <sheetData>
    <row r="1" spans="2:8" ht="19.5" customHeight="1" x14ac:dyDescent="0.2"/>
    <row r="2" spans="2:8" ht="18.75" x14ac:dyDescent="0.2">
      <c r="B2" s="19" t="s">
        <v>45</v>
      </c>
    </row>
    <row r="3" spans="2:8" ht="17.25" customHeight="1" x14ac:dyDescent="0.2">
      <c r="B3" s="20" t="s">
        <v>46</v>
      </c>
      <c r="C3" s="21"/>
      <c r="D3" s="21"/>
      <c r="E3" s="21"/>
      <c r="F3" s="21"/>
      <c r="G3" s="22">
        <v>475</v>
      </c>
    </row>
    <row r="4" spans="2:8" ht="17.25" customHeight="1" x14ac:dyDescent="0.2">
      <c r="B4" s="23" t="s">
        <v>47</v>
      </c>
      <c r="C4" s="24"/>
      <c r="D4" s="24"/>
      <c r="E4" s="24"/>
      <c r="F4" s="24"/>
      <c r="G4" s="25">
        <f>H4/10000</f>
        <v>0.19</v>
      </c>
      <c r="H4" s="26">
        <v>1900</v>
      </c>
    </row>
    <row r="5" spans="2:8" ht="17.25" customHeight="1" x14ac:dyDescent="0.2">
      <c r="B5" s="112" t="s">
        <v>48</v>
      </c>
      <c r="C5" s="113"/>
      <c r="D5" s="113"/>
      <c r="E5" s="113"/>
      <c r="F5" s="113"/>
      <c r="G5" s="114">
        <f>G3/G4</f>
        <v>2500</v>
      </c>
    </row>
    <row r="6" spans="2:8" ht="45.75" customHeight="1" x14ac:dyDescent="0.2">
      <c r="B6" s="133" t="str">
        <f>"Harga wajar saham preferen dengan dividen tetap per tahun "&amp;TEXT(G3,"Rp #.###")&amp;" dan required rate of return saham sejenis "&amp;TEXT(G4,"#,00%")&amp;" adalah Rp "&amp;TEXT(G3/G4,"#.###")</f>
        <v>Harga wajar saham preferen dengan dividen tetap per tahun Rp 475 dan required rate of return saham sejenis 19,00% adalah Rp 2.500</v>
      </c>
      <c r="C6" s="133"/>
      <c r="D6" s="133"/>
      <c r="E6" s="133"/>
      <c r="F6" s="133"/>
      <c r="G6" s="133"/>
    </row>
    <row r="7" spans="2:8" x14ac:dyDescent="0.2">
      <c r="G7" s="29"/>
    </row>
    <row r="8" spans="2:8" ht="18" x14ac:dyDescent="0.2">
      <c r="B8" s="30" t="s">
        <v>49</v>
      </c>
      <c r="C8" s="31" t="s">
        <v>50</v>
      </c>
    </row>
    <row r="9" spans="2:8" ht="9.75" customHeight="1" x14ac:dyDescent="0.2"/>
    <row r="10" spans="2:8" ht="18" x14ac:dyDescent="0.2">
      <c r="C10" s="32" t="s">
        <v>51</v>
      </c>
      <c r="D10" s="18" t="s">
        <v>52</v>
      </c>
    </row>
    <row r="11" spans="2:8" x14ac:dyDescent="0.2">
      <c r="C11" s="32" t="s">
        <v>44</v>
      </c>
      <c r="D11" s="18" t="s">
        <v>53</v>
      </c>
    </row>
    <row r="12" spans="2:8" x14ac:dyDescent="0.2">
      <c r="C12" s="32" t="s">
        <v>54</v>
      </c>
      <c r="D12" s="18" t="s">
        <v>55</v>
      </c>
    </row>
    <row r="13" spans="2:8" ht="9.75" customHeight="1" x14ac:dyDescent="0.2"/>
    <row r="14" spans="2:8" ht="18" x14ac:dyDescent="0.2">
      <c r="C14" s="32" t="s">
        <v>56</v>
      </c>
      <c r="D14" s="18" t="s">
        <v>37</v>
      </c>
    </row>
    <row r="15" spans="2:8" x14ac:dyDescent="0.2">
      <c r="C15" s="32" t="s">
        <v>18</v>
      </c>
      <c r="D15" s="18" t="str">
        <f>TEXT(G3,"#.###")&amp;" / "&amp;TEXT(G4,"#,00%")</f>
        <v>475 / 19,00%</v>
      </c>
    </row>
    <row r="16" spans="2:8" x14ac:dyDescent="0.2">
      <c r="C16" s="32" t="s">
        <v>18</v>
      </c>
      <c r="D16" s="75">
        <f>G3/G4</f>
        <v>2500</v>
      </c>
      <c r="E16" s="29"/>
    </row>
    <row r="17" ht="19.5" customHeight="1" x14ac:dyDescent="0.2"/>
  </sheetData>
  <mergeCells count="1">
    <mergeCell ref="B6:G6"/>
  </mergeCell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945" r:id="rId4" name="Scroll Bar 1">
              <controlPr defaultSize="0" autoPict="0">
                <anchor moveWithCells="1">
                  <from>
                    <xdr:col>5</xdr:col>
                    <xdr:colOff>66675</xdr:colOff>
                    <xdr:row>3</xdr:row>
                    <xdr:rowOff>19050</xdr:rowOff>
                  </from>
                  <to>
                    <xdr:col>5</xdr:col>
                    <xdr:colOff>552450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6" r:id="rId5" name="Scroll Bar 2">
              <controlPr defaultSize="0" autoPict="0">
                <anchor moveWithCells="1">
                  <from>
                    <xdr:col>5</xdr:col>
                    <xdr:colOff>66675</xdr:colOff>
                    <xdr:row>2</xdr:row>
                    <xdr:rowOff>19050</xdr:rowOff>
                  </from>
                  <to>
                    <xdr:col>5</xdr:col>
                    <xdr:colOff>552450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8"/>
  <sheetViews>
    <sheetView showGridLines="0" workbookViewId="0">
      <selection activeCell="C16" sqref="C16"/>
    </sheetView>
  </sheetViews>
  <sheetFormatPr defaultRowHeight="15" x14ac:dyDescent="0.2"/>
  <cols>
    <col min="1" max="1" width="5.85546875" style="18" customWidth="1"/>
    <col min="2" max="2" width="10" style="18" customWidth="1"/>
    <col min="3" max="3" width="30.42578125" style="18" customWidth="1"/>
    <col min="4" max="4" width="13.5703125" style="18" customWidth="1"/>
    <col min="5" max="5" width="5.85546875" style="18" customWidth="1"/>
    <col min="6" max="16384" width="9.140625" style="18"/>
  </cols>
  <sheetData>
    <row r="1" spans="2:5" ht="19.5" customHeight="1" x14ac:dyDescent="0.2"/>
    <row r="2" spans="2:5" ht="18.75" x14ac:dyDescent="0.2">
      <c r="B2" s="55" t="s">
        <v>95</v>
      </c>
    </row>
    <row r="3" spans="2:5" ht="17.25" customHeight="1" x14ac:dyDescent="0.2">
      <c r="B3" s="34" t="s">
        <v>78</v>
      </c>
      <c r="C3" s="35"/>
      <c r="D3" s="37" t="s">
        <v>96</v>
      </c>
    </row>
    <row r="4" spans="2:5" ht="17.25" customHeight="1" x14ac:dyDescent="0.2">
      <c r="B4" s="34" t="s">
        <v>97</v>
      </c>
      <c r="C4" s="35"/>
      <c r="D4" s="77">
        <v>1750</v>
      </c>
      <c r="E4" s="26"/>
    </row>
    <row r="5" spans="2:5" ht="17.25" customHeight="1" x14ac:dyDescent="0.2">
      <c r="B5" s="34" t="s">
        <v>98</v>
      </c>
      <c r="C5" s="35"/>
      <c r="D5" s="78">
        <f>E5/100</f>
        <v>0.14000000000000001</v>
      </c>
      <c r="E5" s="26">
        <v>14</v>
      </c>
    </row>
    <row r="6" spans="2:5" ht="19.5" customHeight="1" x14ac:dyDescent="0.2">
      <c r="B6" s="136" t="str">
        <f>"Harga Saham Preferen "&amp;D3</f>
        <v>Harga Saham Preferen PT DEF, Tbk</v>
      </c>
      <c r="C6" s="137"/>
      <c r="D6" s="79">
        <f>D4/D5</f>
        <v>12499.999999999998</v>
      </c>
    </row>
    <row r="7" spans="2:5" ht="48" customHeight="1" x14ac:dyDescent="0.2">
      <c r="B7" s="134" t="str">
        <f>"Artinya, jika dividen yang dibayar per tahun "&amp;TEXT(D4,"Rp #.###")&amp;" dengan tingkat pengembalian pasar "&amp;TEXT(D5,"#%")&amp;", harga wajar saham preferen "&amp;D3&amp;" adalah "&amp;TEXT(D4/D5,"Rp #.###")</f>
        <v>Artinya, jika dividen yang dibayar per tahun Rp 1.750 dengan tingkat pengembalian pasar 14%, harga wajar saham preferen PT DEF, Tbk adalah Rp 12.500</v>
      </c>
      <c r="C7" s="135"/>
      <c r="D7" s="135"/>
    </row>
    <row r="8" spans="2:5" ht="19.5" customHeight="1" x14ac:dyDescent="0.2"/>
  </sheetData>
  <mergeCells count="2">
    <mergeCell ref="B7:D7"/>
    <mergeCell ref="B6:C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3185" r:id="rId3" name="Scroll Bar 1">
              <controlPr defaultSize="0" autoPict="0">
                <anchor moveWithCells="1">
                  <from>
                    <xdr:col>2</xdr:col>
                    <xdr:colOff>1466850</xdr:colOff>
                    <xdr:row>3</xdr:row>
                    <xdr:rowOff>28575</xdr:rowOff>
                  </from>
                  <to>
                    <xdr:col>2</xdr:col>
                    <xdr:colOff>1924050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6" r:id="rId4" name="Scroll Bar 2">
              <controlPr defaultSize="0" autoPict="0">
                <anchor moveWithCells="1">
                  <from>
                    <xdr:col>2</xdr:col>
                    <xdr:colOff>1466850</xdr:colOff>
                    <xdr:row>4</xdr:row>
                    <xdr:rowOff>28575</xdr:rowOff>
                  </from>
                  <to>
                    <xdr:col>2</xdr:col>
                    <xdr:colOff>1924050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3"/>
  <sheetViews>
    <sheetView showGridLines="0" workbookViewId="0">
      <selection activeCell="I4" sqref="I4:I7"/>
    </sheetView>
  </sheetViews>
  <sheetFormatPr defaultRowHeight="15" x14ac:dyDescent="0.2"/>
  <cols>
    <col min="1" max="1" width="5.85546875" style="18" customWidth="1"/>
    <col min="2" max="7" width="9.140625" style="18"/>
    <col min="8" max="8" width="2.5703125" style="18" customWidth="1"/>
    <col min="9" max="9" width="60.28515625" style="18" customWidth="1"/>
    <col min="10" max="10" width="5.85546875" style="18" customWidth="1"/>
    <col min="11" max="16384" width="9.140625" style="18"/>
  </cols>
  <sheetData>
    <row r="1" spans="2:9" ht="19.5" customHeight="1" x14ac:dyDescent="0.2"/>
    <row r="2" spans="2:9" ht="18.75" x14ac:dyDescent="0.2">
      <c r="B2" s="19" t="s">
        <v>57</v>
      </c>
    </row>
    <row r="3" spans="2:9" ht="17.25" customHeight="1" x14ac:dyDescent="0.2">
      <c r="B3" s="20" t="s">
        <v>46</v>
      </c>
      <c r="C3" s="21"/>
      <c r="D3" s="21"/>
      <c r="E3" s="21"/>
      <c r="F3" s="21"/>
      <c r="G3" s="22">
        <v>500</v>
      </c>
    </row>
    <row r="4" spans="2:9" ht="17.25" customHeight="1" x14ac:dyDescent="0.2">
      <c r="B4" s="115" t="s">
        <v>47</v>
      </c>
      <c r="C4" s="116"/>
      <c r="D4" s="116"/>
      <c r="E4" s="116"/>
      <c r="F4" s="116"/>
      <c r="G4" s="38">
        <f>H4/10000</f>
        <v>0.18</v>
      </c>
      <c r="H4" s="26">
        <v>1800</v>
      </c>
      <c r="I4" s="133" t="str">
        <f>"Harga wajar saham dengan dividen tetap per tahun "&amp;TEXT(G3,"Rp #.###")&amp;", required rate of return saham sejenis "&amp;TEXT(G4,"#00%")&amp;", adalah Rp "&amp;TEXT(G3/G4,"#.###")&amp;". Seandainya terjadi perubahan required rate of retur menjadi "&amp;TEXT(G6,"#,00%")&amp;", harga wajar saham preferen (perubahan) Rp "&amp;TEXT(G3/G6,"#.###")</f>
        <v>Harga wajar saham dengan dividen tetap per tahun Rp 500, required rate of return saham sejenis 18%, adalah Rp 2.778. Seandainya terjadi perubahan required rate of retur menjadi 17,25%, harga wajar saham preferen (perubahan) Rp 2.899</v>
      </c>
    </row>
    <row r="5" spans="2:9" ht="17.25" customHeight="1" x14ac:dyDescent="0.2">
      <c r="B5" s="117" t="s">
        <v>48</v>
      </c>
      <c r="C5" s="118"/>
      <c r="D5" s="118"/>
      <c r="E5" s="118"/>
      <c r="F5" s="118"/>
      <c r="G5" s="119">
        <f>G3/G4</f>
        <v>2777.7777777777778</v>
      </c>
      <c r="I5" s="133"/>
    </row>
    <row r="6" spans="2:9" ht="18" customHeight="1" x14ac:dyDescent="0.2">
      <c r="B6" s="120" t="s">
        <v>58</v>
      </c>
      <c r="C6" s="121"/>
      <c r="D6" s="121"/>
      <c r="E6" s="121"/>
      <c r="F6" s="121"/>
      <c r="G6" s="122">
        <f>H6/10000</f>
        <v>0.17249999999999999</v>
      </c>
      <c r="H6" s="26">
        <v>1725</v>
      </c>
      <c r="I6" s="133"/>
    </row>
    <row r="7" spans="2:9" x14ac:dyDescent="0.2">
      <c r="B7" s="27" t="s">
        <v>59</v>
      </c>
      <c r="C7" s="28"/>
      <c r="D7" s="28"/>
      <c r="E7" s="28"/>
      <c r="F7" s="28"/>
      <c r="G7" s="81">
        <f>G3/G6</f>
        <v>2898.5507246376815</v>
      </c>
      <c r="I7" s="133"/>
    </row>
    <row r="8" spans="2:9" ht="9.75" customHeight="1" x14ac:dyDescent="0.2">
      <c r="G8" s="29"/>
    </row>
    <row r="9" spans="2:9" x14ac:dyDescent="0.2">
      <c r="B9" s="36" t="s">
        <v>60</v>
      </c>
      <c r="G9" s="29"/>
    </row>
    <row r="10" spans="2:9" ht="29.25" customHeight="1" x14ac:dyDescent="0.2">
      <c r="B10" s="138" t="str">
        <f>"Jika required rate of return mengalami "&amp;IF(G6&gt;G4,"kenaikan ","penurunan")&amp;" harga saham preferen akan "&amp;IF(G7&gt;G5,"naik","turun")</f>
        <v>Jika required rate of return mengalami penurunan harga saham preferen akan naik</v>
      </c>
      <c r="C10" s="139"/>
      <c r="D10" s="139"/>
      <c r="E10" s="139"/>
      <c r="F10" s="139"/>
      <c r="G10" s="139"/>
    </row>
    <row r="11" spans="2:9" ht="19.5" customHeight="1" x14ac:dyDescent="0.2">
      <c r="G11" s="29"/>
    </row>
    <row r="12" spans="2:9" x14ac:dyDescent="0.2">
      <c r="G12" s="29"/>
    </row>
    <row r="13" spans="2:9" x14ac:dyDescent="0.2">
      <c r="G13" s="29"/>
    </row>
  </sheetData>
  <mergeCells count="2">
    <mergeCell ref="B10:G10"/>
    <mergeCell ref="I4:I7"/>
  </mergeCells>
  <pageMargins left="0.7" right="0.7" top="0.75" bottom="0.75" header="0.3" footer="0.3"/>
  <pageSetup paperSize="9" orientation="portrait" horizontalDpi="4294967293" verticalDpi="0" r:id="rId1"/>
  <ignoredErrors>
    <ignoredError sqref="G5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Scroll Bar 1">
              <controlPr defaultSize="0" autoPict="0">
                <anchor moveWithCells="1">
                  <from>
                    <xdr:col>5</xdr:col>
                    <xdr:colOff>66675</xdr:colOff>
                    <xdr:row>3</xdr:row>
                    <xdr:rowOff>19050</xdr:rowOff>
                  </from>
                  <to>
                    <xdr:col>5</xdr:col>
                    <xdr:colOff>552450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0" r:id="rId5" name="Scroll Bar 2">
              <controlPr defaultSize="0" autoPict="0">
                <anchor moveWithCells="1">
                  <from>
                    <xdr:col>5</xdr:col>
                    <xdr:colOff>66675</xdr:colOff>
                    <xdr:row>2</xdr:row>
                    <xdr:rowOff>19050</xdr:rowOff>
                  </from>
                  <to>
                    <xdr:col>5</xdr:col>
                    <xdr:colOff>552450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1" r:id="rId6" name="Scroll Bar 3">
              <controlPr defaultSize="0" autoPict="0">
                <anchor moveWithCells="1">
                  <from>
                    <xdr:col>5</xdr:col>
                    <xdr:colOff>66675</xdr:colOff>
                    <xdr:row>5</xdr:row>
                    <xdr:rowOff>38100</xdr:rowOff>
                  </from>
                  <to>
                    <xdr:col>5</xdr:col>
                    <xdr:colOff>552450</xdr:colOff>
                    <xdr:row>5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3"/>
  <sheetViews>
    <sheetView showGridLines="0" workbookViewId="0">
      <selection activeCell="C20" sqref="C20"/>
    </sheetView>
  </sheetViews>
  <sheetFormatPr defaultRowHeight="15" x14ac:dyDescent="0.2"/>
  <cols>
    <col min="1" max="1" width="5.42578125" style="18" customWidth="1"/>
    <col min="2" max="2" width="9.7109375" style="18" customWidth="1"/>
    <col min="3" max="4" width="11.42578125" style="18" customWidth="1"/>
    <col min="5" max="5" width="4.140625" style="18" customWidth="1"/>
    <col min="6" max="6" width="10.85546875" style="18" customWidth="1"/>
    <col min="7" max="7" width="3.7109375" style="18" customWidth="1"/>
    <col min="8" max="8" width="7.85546875" style="18" customWidth="1"/>
    <col min="9" max="9" width="22.5703125" style="18" customWidth="1"/>
    <col min="10" max="10" width="12.85546875" style="18" customWidth="1"/>
    <col min="11" max="11" width="5.85546875" style="18" customWidth="1"/>
    <col min="12" max="16384" width="9.140625" style="18"/>
  </cols>
  <sheetData>
    <row r="1" spans="2:9" ht="19.5" customHeight="1" x14ac:dyDescent="0.2"/>
    <row r="2" spans="2:9" ht="18.75" x14ac:dyDescent="0.2">
      <c r="B2" s="55" t="s">
        <v>99</v>
      </c>
    </row>
    <row r="3" spans="2:9" ht="17.25" customHeight="1" x14ac:dyDescent="0.2">
      <c r="B3" s="34" t="s">
        <v>83</v>
      </c>
      <c r="C3" s="35"/>
      <c r="D3" s="35"/>
      <c r="E3" s="35"/>
      <c r="F3" s="86">
        <v>375</v>
      </c>
      <c r="H3" s="57" t="s">
        <v>101</v>
      </c>
      <c r="I3" s="76"/>
    </row>
    <row r="4" spans="2:9" ht="17.25" customHeight="1" x14ac:dyDescent="0.2">
      <c r="B4" s="39" t="s">
        <v>100</v>
      </c>
      <c r="C4" s="40"/>
      <c r="D4" s="40"/>
      <c r="E4" s="40"/>
      <c r="F4" s="87">
        <v>6000</v>
      </c>
      <c r="H4" s="88" t="s">
        <v>105</v>
      </c>
    </row>
    <row r="5" spans="2:9" ht="17.25" customHeight="1" x14ac:dyDescent="0.2">
      <c r="B5" s="136" t="s">
        <v>101</v>
      </c>
      <c r="C5" s="136"/>
      <c r="D5" s="136"/>
      <c r="E5" s="137"/>
      <c r="F5" s="124">
        <f>F3/F4</f>
        <v>6.25E-2</v>
      </c>
      <c r="G5" s="29"/>
      <c r="H5" s="140" t="s">
        <v>102</v>
      </c>
      <c r="I5" s="82" t="s">
        <v>103</v>
      </c>
    </row>
    <row r="6" spans="2:9" x14ac:dyDescent="0.2">
      <c r="B6" s="133" t="str">
        <f>"Biaya saham preferen dengan dividen per lembar Rp "&amp;TEXT(F3,"#")&amp;" dengan harga per lembar "&amp;TEXT(F4,"Rp #.###")&amp;" adalah "&amp;TEXT(F3/F4,"#,00%")</f>
        <v>Biaya saham preferen dengan dividen per lembar Rp 375 dengan harga per lembar Rp 6.000 adalah 6,25%</v>
      </c>
      <c r="C6" s="133"/>
      <c r="D6" s="133"/>
      <c r="E6" s="133"/>
      <c r="F6" s="133"/>
      <c r="H6" s="140"/>
      <c r="I6" s="106" t="s">
        <v>104</v>
      </c>
    </row>
    <row r="7" spans="2:9" x14ac:dyDescent="0.2">
      <c r="B7" s="133"/>
      <c r="C7" s="133"/>
      <c r="D7" s="133"/>
      <c r="E7" s="133"/>
      <c r="F7" s="133"/>
      <c r="H7" s="123" t="s">
        <v>102</v>
      </c>
      <c r="I7" s="84" t="str">
        <f>F3&amp;" / "&amp;TEXT(F4,"#.000")</f>
        <v>375 / 6.000</v>
      </c>
    </row>
    <row r="8" spans="2:9" x14ac:dyDescent="0.2">
      <c r="E8" s="36"/>
      <c r="F8" s="36"/>
      <c r="H8" s="123" t="s">
        <v>102</v>
      </c>
      <c r="I8" s="85">
        <f>F3/F4</f>
        <v>6.25E-2</v>
      </c>
    </row>
    <row r="9" spans="2:9" ht="19.5" customHeight="1" x14ac:dyDescent="0.2"/>
    <row r="13" spans="2:9" ht="19.5" customHeight="1" x14ac:dyDescent="0.2">
      <c r="E13" s="58"/>
    </row>
  </sheetData>
  <mergeCells count="3">
    <mergeCell ref="H5:H6"/>
    <mergeCell ref="B5:E5"/>
    <mergeCell ref="B6:F7"/>
  </mergeCells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4209" r:id="rId4" name="Scroll Bar 1">
              <controlPr defaultSize="0" autoPict="0">
                <anchor moveWithCells="1">
                  <from>
                    <xdr:col>3</xdr:col>
                    <xdr:colOff>457200</xdr:colOff>
                    <xdr:row>2</xdr:row>
                    <xdr:rowOff>28575</xdr:rowOff>
                  </from>
                  <to>
                    <xdr:col>4</xdr:col>
                    <xdr:colOff>152400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10" r:id="rId5" name="Scroll Bar 2">
              <controlPr defaultSize="0" autoPict="0">
                <anchor moveWithCells="1">
                  <from>
                    <xdr:col>3</xdr:col>
                    <xdr:colOff>457200</xdr:colOff>
                    <xdr:row>3</xdr:row>
                    <xdr:rowOff>28575</xdr:rowOff>
                  </from>
                  <to>
                    <xdr:col>4</xdr:col>
                    <xdr:colOff>152400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K16"/>
  <sheetViews>
    <sheetView showGridLines="0" workbookViewId="0">
      <selection activeCell="N16" sqref="N16"/>
    </sheetView>
  </sheetViews>
  <sheetFormatPr defaultRowHeight="15" x14ac:dyDescent="0.2"/>
  <cols>
    <col min="1" max="1" width="5.85546875" style="18" customWidth="1"/>
    <col min="2" max="2" width="39.28515625" style="18" customWidth="1"/>
    <col min="3" max="3" width="11" style="18" customWidth="1"/>
    <col min="4" max="4" width="2.7109375" style="18" customWidth="1"/>
    <col min="5" max="5" width="9.140625" style="18"/>
    <col min="6" max="6" width="5.42578125" style="18" customWidth="1"/>
    <col min="7" max="7" width="8.5703125" style="18" customWidth="1"/>
    <col min="8" max="8" width="4.28515625" style="18" customWidth="1"/>
    <col min="9" max="9" width="8.5703125" style="18" customWidth="1"/>
    <col min="10" max="10" width="10.5703125" style="18" customWidth="1"/>
    <col min="11" max="11" width="2.5703125" style="18" customWidth="1"/>
    <col min="12" max="12" width="5.85546875" style="18" customWidth="1"/>
    <col min="13" max="16384" width="9.140625" style="18"/>
  </cols>
  <sheetData>
    <row r="2" spans="2:11" ht="18.75" x14ac:dyDescent="0.2">
      <c r="B2" s="19" t="s">
        <v>61</v>
      </c>
    </row>
    <row r="3" spans="2:11" ht="16.5" customHeight="1" x14ac:dyDescent="0.2">
      <c r="B3" s="47" t="s">
        <v>73</v>
      </c>
      <c r="C3" s="37">
        <v>220</v>
      </c>
      <c r="E3" s="18" t="s">
        <v>49</v>
      </c>
      <c r="F3" s="146" t="s">
        <v>76</v>
      </c>
      <c r="G3" s="41" t="s">
        <v>41</v>
      </c>
      <c r="H3" s="148" t="s">
        <v>39</v>
      </c>
      <c r="I3" s="150" t="s">
        <v>75</v>
      </c>
      <c r="J3" s="150"/>
      <c r="K3" s="49"/>
    </row>
    <row r="4" spans="2:11" ht="16.5" customHeight="1" x14ac:dyDescent="0.2">
      <c r="B4" s="47" t="s">
        <v>74</v>
      </c>
      <c r="C4" s="22">
        <v>1350</v>
      </c>
      <c r="D4" s="26">
        <v>1000</v>
      </c>
      <c r="F4" s="147"/>
      <c r="G4" s="44" t="s">
        <v>77</v>
      </c>
      <c r="H4" s="149"/>
      <c r="I4" s="149" t="s">
        <v>77</v>
      </c>
      <c r="J4" s="149"/>
      <c r="K4" s="50"/>
    </row>
    <row r="5" spans="2:11" ht="16.5" customHeight="1" x14ac:dyDescent="0.2">
      <c r="B5" s="47" t="s">
        <v>43</v>
      </c>
      <c r="C5" s="38">
        <f>D5/10000</f>
        <v>0.17499999999999999</v>
      </c>
      <c r="D5" s="26">
        <v>1750</v>
      </c>
    </row>
    <row r="6" spans="2:11" ht="16.5" customHeight="1" x14ac:dyDescent="0.2">
      <c r="B6" s="39" t="s">
        <v>75</v>
      </c>
      <c r="C6" s="48">
        <v>1525</v>
      </c>
      <c r="D6" s="26"/>
      <c r="F6" s="143" t="s">
        <v>76</v>
      </c>
      <c r="G6" s="44">
        <f>C3</f>
        <v>220</v>
      </c>
      <c r="H6" s="145" t="s">
        <v>39</v>
      </c>
      <c r="I6" s="51">
        <f>C6</f>
        <v>1525</v>
      </c>
    </row>
    <row r="7" spans="2:11" ht="15" customHeight="1" x14ac:dyDescent="0.2">
      <c r="B7" s="141" t="str">
        <f>"Harga wajar per lembar saham biasa dengan perkiraan dividen Rp "&amp;C3&amp;", harga pasar Rp "&amp;TEXT(C4,"#.###")&amp;" dengan required rate of return "&amp;TEXT(C5,"0,00%")&amp;" dan perkiraan harga jual "&amp;TEXT(C6,"Rp #.###")&amp;" adalah Rp "&amp;TEXT(C3/(1+C5)^1+C6/(1+C5)^1,"#.###")</f>
        <v>Harga wajar per lembar saham biasa dengan perkiraan dividen Rp 220, harga pasar Rp 1.350 dengan required rate of return 17,50% dan perkiraan harga jual Rp 1.525 adalah Rp 1.485</v>
      </c>
      <c r="C7" s="141"/>
      <c r="F7" s="144"/>
      <c r="G7" s="18" t="str">
        <f>"(1+"&amp;TEXT(C5,"0,000")&amp;")"</f>
        <v>(1+0,175)</v>
      </c>
      <c r="H7" s="145"/>
      <c r="I7" s="18" t="str">
        <f>"(1+"&amp;TEXT(C5,"0,000")&amp;")"</f>
        <v>(1+0,175)</v>
      </c>
    </row>
    <row r="8" spans="2:11" ht="15" customHeight="1" x14ac:dyDescent="0.2">
      <c r="B8" s="142"/>
      <c r="C8" s="142"/>
      <c r="F8" s="125" t="s">
        <v>38</v>
      </c>
      <c r="G8" s="18" t="str">
        <f>TEXT(C3/(1+C5)^1,"#.###")&amp;" + "&amp;TEXT(C6/(1+C5)^1,"#.###")</f>
        <v>187 + 1.298</v>
      </c>
    </row>
    <row r="9" spans="2:11" x14ac:dyDescent="0.2">
      <c r="B9" s="142"/>
      <c r="C9" s="142"/>
      <c r="F9" s="125" t="s">
        <v>38</v>
      </c>
      <c r="G9" s="33">
        <f>C3/(1+C5)^1+C6/(1+C5)^1</f>
        <v>1485.1063829787233</v>
      </c>
    </row>
    <row r="10" spans="2:11" x14ac:dyDescent="0.2">
      <c r="B10" s="142"/>
      <c r="C10" s="142"/>
    </row>
    <row r="11" spans="2:11" ht="19.5" customHeight="1" x14ac:dyDescent="0.2"/>
    <row r="13" spans="2:11" ht="17.25" customHeight="1" x14ac:dyDescent="0.2"/>
    <row r="15" spans="2:11" ht="15" customHeight="1" x14ac:dyDescent="0.2"/>
    <row r="16" spans="2:11" ht="19.5" customHeight="1" x14ac:dyDescent="0.2"/>
  </sheetData>
  <mergeCells count="7">
    <mergeCell ref="I3:J3"/>
    <mergeCell ref="I4:J4"/>
    <mergeCell ref="B7:C10"/>
    <mergeCell ref="F6:F7"/>
    <mergeCell ref="H6:H7"/>
    <mergeCell ref="F3:F4"/>
    <mergeCell ref="H3:H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6017" r:id="rId3" name="Scroll Bar 1">
              <controlPr defaultSize="0" autoPict="0">
                <anchor moveWithCells="1">
                  <from>
                    <xdr:col>1</xdr:col>
                    <xdr:colOff>2000250</xdr:colOff>
                    <xdr:row>2</xdr:row>
                    <xdr:rowOff>28575</xdr:rowOff>
                  </from>
                  <to>
                    <xdr:col>1</xdr:col>
                    <xdr:colOff>2486025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18" r:id="rId4" name="Scroll Bar 2">
              <controlPr defaultSize="0" autoPict="0">
                <anchor moveWithCells="1">
                  <from>
                    <xdr:col>1</xdr:col>
                    <xdr:colOff>2000250</xdr:colOff>
                    <xdr:row>3</xdr:row>
                    <xdr:rowOff>28575</xdr:rowOff>
                  </from>
                  <to>
                    <xdr:col>1</xdr:col>
                    <xdr:colOff>2486025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19" r:id="rId5" name="Scroll Bar 3">
              <controlPr defaultSize="0" autoPict="0">
                <anchor moveWithCells="1">
                  <from>
                    <xdr:col>1</xdr:col>
                    <xdr:colOff>2000250</xdr:colOff>
                    <xdr:row>4</xdr:row>
                    <xdr:rowOff>19050</xdr:rowOff>
                  </from>
                  <to>
                    <xdr:col>1</xdr:col>
                    <xdr:colOff>2486025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0" r:id="rId6" name="Scroll Bar 4">
              <controlPr defaultSize="0" autoPict="0">
                <anchor moveWithCells="1">
                  <from>
                    <xdr:col>1</xdr:col>
                    <xdr:colOff>2000250</xdr:colOff>
                    <xdr:row>5</xdr:row>
                    <xdr:rowOff>9525</xdr:rowOff>
                  </from>
                  <to>
                    <xdr:col>1</xdr:col>
                    <xdr:colOff>2486025</xdr:colOff>
                    <xdr:row>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9"/>
  <sheetViews>
    <sheetView showGridLines="0" workbookViewId="0">
      <selection activeCell="B6" sqref="B6:C8"/>
    </sheetView>
  </sheetViews>
  <sheetFormatPr defaultRowHeight="15" x14ac:dyDescent="0.2"/>
  <cols>
    <col min="1" max="1" width="5.85546875" style="18" customWidth="1"/>
    <col min="2" max="2" width="45" style="18" customWidth="1"/>
    <col min="3" max="3" width="10" style="18" customWidth="1"/>
    <col min="4" max="4" width="3" style="18" customWidth="1"/>
    <col min="5" max="5" width="7.140625" style="18" customWidth="1"/>
    <col min="6" max="6" width="6.85546875" style="18" customWidth="1"/>
    <col min="7" max="7" width="5.42578125" style="18" customWidth="1"/>
    <col min="8" max="8" width="3.42578125" style="18" customWidth="1"/>
    <col min="9" max="9" width="9.140625" style="18"/>
    <col min="10" max="10" width="2.140625" style="18" customWidth="1"/>
    <col min="11" max="11" width="3.28515625" style="18" customWidth="1"/>
    <col min="12" max="12" width="17.28515625" style="18" customWidth="1"/>
    <col min="13" max="13" width="5.85546875" style="18" customWidth="1"/>
    <col min="14" max="16384" width="9.140625" style="18"/>
  </cols>
  <sheetData>
    <row r="1" spans="2:11" ht="19.5" customHeight="1" x14ac:dyDescent="0.2"/>
    <row r="2" spans="2:11" ht="18.75" x14ac:dyDescent="0.2">
      <c r="B2" s="19" t="s">
        <v>61</v>
      </c>
    </row>
    <row r="3" spans="2:11" ht="16.5" customHeight="1" x14ac:dyDescent="0.2">
      <c r="B3" s="34" t="s">
        <v>62</v>
      </c>
      <c r="C3" s="37">
        <v>220</v>
      </c>
      <c r="E3" s="18" t="s">
        <v>49</v>
      </c>
      <c r="F3" s="151" t="s">
        <v>64</v>
      </c>
      <c r="G3" s="109" t="s">
        <v>41</v>
      </c>
      <c r="H3" s="148" t="s">
        <v>18</v>
      </c>
      <c r="I3" s="109" t="s">
        <v>65</v>
      </c>
      <c r="J3" s="42"/>
      <c r="K3" s="43"/>
    </row>
    <row r="4" spans="2:11" ht="16.5" customHeight="1" x14ac:dyDescent="0.2">
      <c r="B4" s="34" t="s">
        <v>63</v>
      </c>
      <c r="C4" s="38">
        <f>D4/10000</f>
        <v>0.1</v>
      </c>
      <c r="D4" s="26">
        <v>1000</v>
      </c>
      <c r="F4" s="147"/>
      <c r="G4" s="108" t="s">
        <v>66</v>
      </c>
      <c r="H4" s="149"/>
      <c r="I4" s="108" t="s">
        <v>67</v>
      </c>
      <c r="J4" s="45"/>
      <c r="K4" s="43"/>
    </row>
    <row r="5" spans="2:11" ht="16.5" customHeight="1" x14ac:dyDescent="0.2">
      <c r="B5" s="39" t="s">
        <v>43</v>
      </c>
      <c r="C5" s="25">
        <f>D5/10000</f>
        <v>0.18</v>
      </c>
      <c r="D5" s="26">
        <v>1800</v>
      </c>
    </row>
    <row r="6" spans="2:11" ht="15" customHeight="1" x14ac:dyDescent="0.2">
      <c r="B6" s="141" t="str">
        <f>"Jika diketahui dividen per saham "&amp;TEXT(C3,"Rp #.###")&amp;" dengan tingkat pertumbuhan per tahun "&amp;TEXT(C4,"#,00%")&amp;" dan required rate of return "&amp;TEXT(C5,"0,00")&amp;" harga wajar saham adalah "&amp;TEXT((C3*(1+C4))/(C5-C4),"Rp #.###")</f>
        <v>Jika diketahui dividen per saham Rp 220 dengan tingkat pertumbuhan per tahun 10,00% dan required rate of return 0,18 harga wajar saham adalah Rp 3.025</v>
      </c>
      <c r="C6" s="141"/>
      <c r="G6" s="18" t="s">
        <v>68</v>
      </c>
      <c r="I6" s="18" t="s">
        <v>69</v>
      </c>
    </row>
    <row r="7" spans="2:11" ht="18" customHeight="1" x14ac:dyDescent="0.2">
      <c r="B7" s="133"/>
      <c r="C7" s="133"/>
      <c r="G7" s="152" t="s">
        <v>70</v>
      </c>
      <c r="H7" s="152"/>
      <c r="I7" s="18" t="s">
        <v>71</v>
      </c>
    </row>
    <row r="8" spans="2:11" ht="18" x14ac:dyDescent="0.2">
      <c r="B8" s="133"/>
      <c r="C8" s="133"/>
      <c r="G8" s="18" t="s">
        <v>42</v>
      </c>
      <c r="I8" s="18" t="s">
        <v>72</v>
      </c>
    </row>
    <row r="10" spans="2:11" x14ac:dyDescent="0.2">
      <c r="G10" s="153" t="s">
        <v>68</v>
      </c>
      <c r="H10" s="145" t="s">
        <v>18</v>
      </c>
      <c r="I10" s="54" t="str">
        <f>TEXT(C3,"#.###")&amp;"(1 + "&amp;TEXT(C4,"#,00%")&amp;")"</f>
        <v>220(1 + 10,00%)</v>
      </c>
      <c r="J10" s="54"/>
      <c r="K10" s="54"/>
    </row>
    <row r="11" spans="2:11" x14ac:dyDescent="0.2">
      <c r="G11" s="153"/>
      <c r="H11" s="145"/>
      <c r="I11" s="18" t="str">
        <f>TEXT(C5,"#,00%")&amp;" - "&amp;TEXT(C4,"#,00%")</f>
        <v>18,00% - 10,00%</v>
      </c>
    </row>
    <row r="12" spans="2:11" x14ac:dyDescent="0.2">
      <c r="H12" s="107" t="s">
        <v>18</v>
      </c>
      <c r="I12" s="33">
        <f>(C3*(1+C4))/(C5-C4)</f>
        <v>3025.0000000000009</v>
      </c>
    </row>
    <row r="13" spans="2:11" ht="19.5" customHeight="1" x14ac:dyDescent="0.2"/>
    <row r="19" ht="19.5" customHeight="1" x14ac:dyDescent="0.2"/>
  </sheetData>
  <mergeCells count="6">
    <mergeCell ref="B6:C8"/>
    <mergeCell ref="F3:F4"/>
    <mergeCell ref="H3:H4"/>
    <mergeCell ref="G7:H7"/>
    <mergeCell ref="G10:G11"/>
    <mergeCell ref="H10:H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2097" r:id="rId3" name="Scroll Bar 1">
              <controlPr defaultSize="0" autoPict="0">
                <anchor moveWithCells="1">
                  <from>
                    <xdr:col>1</xdr:col>
                    <xdr:colOff>2390775</xdr:colOff>
                    <xdr:row>2</xdr:row>
                    <xdr:rowOff>28575</xdr:rowOff>
                  </from>
                  <to>
                    <xdr:col>1</xdr:col>
                    <xdr:colOff>2876550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98" r:id="rId4" name="Scroll Bar 2">
              <controlPr defaultSize="0" autoPict="0">
                <anchor moveWithCells="1">
                  <from>
                    <xdr:col>1</xdr:col>
                    <xdr:colOff>2390775</xdr:colOff>
                    <xdr:row>3</xdr:row>
                    <xdr:rowOff>19050</xdr:rowOff>
                  </from>
                  <to>
                    <xdr:col>1</xdr:col>
                    <xdr:colOff>2876550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99" r:id="rId5" name="Scroll Bar 3">
              <controlPr defaultSize="0" autoPict="0">
                <anchor moveWithCells="1">
                  <from>
                    <xdr:col>1</xdr:col>
                    <xdr:colOff>2390775</xdr:colOff>
                    <xdr:row>4</xdr:row>
                    <xdr:rowOff>9525</xdr:rowOff>
                  </from>
                  <to>
                    <xdr:col>1</xdr:col>
                    <xdr:colOff>2876550</xdr:colOff>
                    <xdr:row>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7"/>
  <sheetViews>
    <sheetView showGridLines="0" workbookViewId="0">
      <selection activeCell="B6" sqref="B6:D8"/>
    </sheetView>
  </sheetViews>
  <sheetFormatPr defaultRowHeight="17.25" customHeight="1" x14ac:dyDescent="0.2"/>
  <cols>
    <col min="1" max="1" width="5.7109375" style="1" customWidth="1"/>
    <col min="2" max="2" width="3.7109375" style="1" customWidth="1"/>
    <col min="3" max="3" width="53.85546875" style="1" customWidth="1"/>
    <col min="4" max="4" width="9.140625" style="1"/>
    <col min="5" max="5" width="5.85546875" style="1" customWidth="1"/>
    <col min="6" max="16384" width="9.140625" style="1"/>
  </cols>
  <sheetData>
    <row r="1" spans="2:5" ht="19.5" customHeight="1" x14ac:dyDescent="0.2"/>
    <row r="2" spans="2:5" ht="17.25" customHeight="1" x14ac:dyDescent="0.2">
      <c r="B2" s="8" t="s">
        <v>12</v>
      </c>
    </row>
    <row r="3" spans="2:5" ht="17.25" customHeight="1" x14ac:dyDescent="0.2">
      <c r="B3" s="90" t="s">
        <v>13</v>
      </c>
      <c r="C3" s="66"/>
      <c r="D3" s="91">
        <v>125</v>
      </c>
    </row>
    <row r="4" spans="2:5" ht="17.25" customHeight="1" x14ac:dyDescent="0.2">
      <c r="B4" s="90" t="s">
        <v>14</v>
      </c>
      <c r="C4" s="66"/>
      <c r="D4" s="92">
        <f>E4/100</f>
        <v>7.0000000000000007E-2</v>
      </c>
      <c r="E4" s="2">
        <v>7</v>
      </c>
    </row>
    <row r="5" spans="2:5" ht="17.25" customHeight="1" x14ac:dyDescent="0.2">
      <c r="B5" s="105" t="s">
        <v>15</v>
      </c>
      <c r="C5" s="68"/>
      <c r="D5" s="127">
        <f>E5/100</f>
        <v>0.09</v>
      </c>
      <c r="E5" s="2">
        <v>9</v>
      </c>
    </row>
    <row r="6" spans="2:5" ht="17.25" customHeight="1" x14ac:dyDescent="0.2">
      <c r="B6" s="154" t="str">
        <f>"Harga wajar/yang layak untuk saham dengan perkiraan dividen Rp "&amp;D3&amp;", tingkat pertumbuhan dari tahun sebelumnya "&amp;TEXT(D4,"#%")&amp;"dan tingkat keuntungan yang diharapkan investor "&amp;TEXT(D5,"#%")&amp;" adalah Rp "&amp;TEXT(D3/(D5-D4),"#.###")</f>
        <v>Harga wajar/yang layak untuk saham dengan perkiraan dividen Rp 125, tingkat pertumbuhan dari tahun sebelumnya 7%dan tingkat keuntungan yang diharapkan investor 9% adalah Rp 6.250</v>
      </c>
      <c r="C6" s="154"/>
      <c r="D6" s="154"/>
    </row>
    <row r="7" spans="2:5" ht="17.25" customHeight="1" x14ac:dyDescent="0.2">
      <c r="B7" s="154"/>
      <c r="C7" s="154"/>
      <c r="D7" s="154"/>
    </row>
    <row r="8" spans="2:5" ht="17.25" customHeight="1" x14ac:dyDescent="0.2">
      <c r="B8" s="154"/>
      <c r="C8" s="154"/>
      <c r="D8" s="154"/>
    </row>
    <row r="9" spans="2:5" ht="17.25" customHeight="1" x14ac:dyDescent="0.2">
      <c r="B9" s="126"/>
      <c r="C9" s="126"/>
      <c r="D9" s="126"/>
    </row>
    <row r="10" spans="2:5" ht="17.25" customHeight="1" x14ac:dyDescent="0.2">
      <c r="B10" s="7" t="s">
        <v>24</v>
      </c>
    </row>
    <row r="11" spans="2:5" ht="17.25" customHeight="1" x14ac:dyDescent="0.2">
      <c r="B11" s="14" t="s">
        <v>18</v>
      </c>
      <c r="C11" s="1" t="s">
        <v>106</v>
      </c>
    </row>
    <row r="12" spans="2:5" ht="17.25" customHeight="1" x14ac:dyDescent="0.2">
      <c r="B12" s="14" t="s">
        <v>18</v>
      </c>
      <c r="C12" s="1" t="str">
        <f>TEXT(D3,"#.#00")&amp;" / ("&amp;TEXT(D5,"#% - ")&amp;TEXT(D4,"#%)")</f>
        <v>125 / (9% - 7%)</v>
      </c>
    </row>
    <row r="13" spans="2:5" ht="17.25" customHeight="1" x14ac:dyDescent="0.2">
      <c r="B13" s="14" t="s">
        <v>18</v>
      </c>
      <c r="C13" s="4">
        <f>D3/(D5-D4)</f>
        <v>6250.0000000000027</v>
      </c>
    </row>
    <row r="14" spans="2:5" ht="19.5" customHeight="1" x14ac:dyDescent="0.2"/>
    <row r="17" spans="2:2" ht="17.25" customHeight="1" x14ac:dyDescent="0.2">
      <c r="B17" s="5"/>
    </row>
  </sheetData>
  <mergeCells count="1">
    <mergeCell ref="B6:D8"/>
  </mergeCells>
  <phoneticPr fontId="6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0" r:id="rId3" name="Scroll Bar 4">
              <controlPr defaultSize="0" autoPict="0">
                <anchor moveWithCells="1">
                  <from>
                    <xdr:col>2</xdr:col>
                    <xdr:colOff>2962275</xdr:colOff>
                    <xdr:row>2</xdr:row>
                    <xdr:rowOff>28575</xdr:rowOff>
                  </from>
                  <to>
                    <xdr:col>2</xdr:col>
                    <xdr:colOff>3448050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4" name="Scroll Bar 5">
              <controlPr defaultSize="0" autoPict="0">
                <anchor moveWithCells="1">
                  <from>
                    <xdr:col>2</xdr:col>
                    <xdr:colOff>2962275</xdr:colOff>
                    <xdr:row>3</xdr:row>
                    <xdr:rowOff>28575</xdr:rowOff>
                  </from>
                  <to>
                    <xdr:col>2</xdr:col>
                    <xdr:colOff>3448050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5" name="Scroll Bar 6">
              <controlPr defaultSize="0" autoPict="0">
                <anchor moveWithCells="1">
                  <from>
                    <xdr:col>2</xdr:col>
                    <xdr:colOff>2962275</xdr:colOff>
                    <xdr:row>4</xdr:row>
                    <xdr:rowOff>19050</xdr:rowOff>
                  </from>
                  <to>
                    <xdr:col>2</xdr:col>
                    <xdr:colOff>3448050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KASUS1</vt:lpstr>
      <vt:lpstr>KASUS2</vt:lpstr>
      <vt:lpstr>KASUS3 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</vt:vector>
  </TitlesOfParts>
  <Company>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Pratama</dc:creator>
  <cp:lastModifiedBy>user</cp:lastModifiedBy>
  <dcterms:created xsi:type="dcterms:W3CDTF">2005-03-08T17:03:26Z</dcterms:created>
  <dcterms:modified xsi:type="dcterms:W3CDTF">2018-04-14T10:38:07Z</dcterms:modified>
</cp:coreProperties>
</file>